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31" windowWidth="11580" windowHeight="8580" activeTab="1"/>
  </bookViews>
  <sheets>
    <sheet name="Recherche passées et présentes " sheetId="1" r:id="rId1"/>
    <sheet name="finis" sheetId="2" r:id="rId2"/>
    <sheet name="projet" sheetId="3" r:id="rId3"/>
  </sheets>
  <definedNames>
    <definedName name="_xlnm.Print_Titles" localSheetId="0">'Recherche passées et présentes '!$1:$1</definedName>
    <definedName name="_xlnm.Print_Area" localSheetId="0">'Recherche passées et présentes '!$G$1:$X$103</definedName>
  </definedNames>
  <calcPr fullCalcOnLoad="1"/>
</workbook>
</file>

<file path=xl/comments1.xml><?xml version="1.0" encoding="utf-8"?>
<comments xmlns="http://schemas.openxmlformats.org/spreadsheetml/2006/main">
  <authors>
    <author> </author>
    <author> Laetitia BACOT - GRAIE</author>
  </authors>
  <commentList>
    <comment ref="E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Fini  : en bleu
en cours : rose
en panne ou hors zabr : gris</t>
        </r>
      </text>
    </comment>
    <comment ref="O1" authorId="0">
      <text>
        <r>
          <rPr>
            <sz val="10"/>
            <rFont val="Tahoma"/>
            <family val="2"/>
          </rPr>
          <t>Thèmz 1 flux hydriques, contraintes climatiques, ressources
Thème 2 : flux formes habitats, biocénoses
Thème 3 Flux polluants, impacts sur les hydrosytèmes et la santé
Thème 4 : observation sociale du fleuve</t>
        </r>
      </text>
    </comment>
    <comment ref="X4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de 2011 à 2013 modif possibles</t>
        </r>
      </text>
    </comment>
    <comment ref="W32" authorId="1">
      <text>
        <r>
          <rPr>
            <b/>
            <sz val="8"/>
            <rFont val="Tahoma"/>
            <family val="2"/>
          </rPr>
          <t xml:space="preserve"> Laetitia BACOT - GRAIE:</t>
        </r>
        <r>
          <rPr>
            <sz val="8"/>
            <rFont val="Tahoma"/>
            <family val="2"/>
          </rPr>
          <t xml:space="preserve">
part lgcie +itus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L1" authorId="0">
      <text>
        <r>
          <rPr>
            <sz val="10"/>
            <rFont val="Tahoma"/>
            <family val="2"/>
          </rPr>
          <t>Thèmz 1 flux hydriques, contraintes climatiques, ressources
Thème 2 : flux formes habitats, biocénoses
Thème 3 Flux polluants, impacts sur les hydrosytèmes et la santé
Thème 4 : observation sociale du fleuve</t>
        </r>
      </text>
    </comment>
  </commentList>
</comments>
</file>

<file path=xl/sharedStrings.xml><?xml version="1.0" encoding="utf-8"?>
<sst xmlns="http://schemas.openxmlformats.org/spreadsheetml/2006/main" count="1061" uniqueCount="578">
  <si>
    <t>Agence de l'Eau DIREN</t>
  </si>
  <si>
    <t xml:space="preserve">Bourse Ademe/CNR , METL/ENTPE , CNR </t>
  </si>
  <si>
    <t>CNR</t>
  </si>
  <si>
    <t>Bourse Cemagref</t>
  </si>
  <si>
    <t>MEDD - RGCU</t>
  </si>
  <si>
    <t>RGCU - labo</t>
  </si>
  <si>
    <t>Ecco - PNRZH - OTHU</t>
  </si>
  <si>
    <t>N°</t>
  </si>
  <si>
    <t>AE</t>
  </si>
  <si>
    <t>DIREN</t>
  </si>
  <si>
    <t>Autres financements acquis</t>
  </si>
  <si>
    <t>Observatoire des sédiments du Rhône</t>
  </si>
  <si>
    <t>3 ans ( 2005-2007)</t>
  </si>
  <si>
    <t>A 12</t>
  </si>
  <si>
    <t>B11</t>
  </si>
  <si>
    <t>A14</t>
  </si>
  <si>
    <t>A 13</t>
  </si>
  <si>
    <t>synthèse sur les apports à attendre de l’ensemble des techniques relevant de l’imagerie </t>
  </si>
  <si>
    <t>Réponse de l'indice Poisson aux pressions anthropiques dans le bassin RMC</t>
  </si>
  <si>
    <t>Bassin versant du Rhône</t>
  </si>
  <si>
    <t>Fiche 8 : villes du Rhône : Aménagement du fleuve et espace alluvial : Sig historique</t>
  </si>
  <si>
    <t>Fiche 14 : gestion des rivières périurbaines</t>
  </si>
  <si>
    <t>Fiche 17 : Elaboration d'une stratégie durable de gestion des eaux pluviales urbaines</t>
  </si>
  <si>
    <t>Echelles</t>
  </si>
  <si>
    <t>3 ans ( septembre 2003 - juin 2006) fini</t>
  </si>
  <si>
    <t>3 ans (2003 - 2006)</t>
  </si>
  <si>
    <t>5 ans (début 2007)</t>
  </si>
  <si>
    <t>2002 - 2007</t>
  </si>
  <si>
    <t>2 ans (septembre 2002 à septembre 2006)</t>
  </si>
  <si>
    <t>2003- 2006</t>
  </si>
  <si>
    <t>2006- 2007</t>
  </si>
  <si>
    <t xml:space="preserve">Suivi scientfique du programme décennal  </t>
  </si>
  <si>
    <t>2002 - 2006</t>
  </si>
  <si>
    <t>18 mois à compter de septembre 2004</t>
  </si>
  <si>
    <t>2003-2007</t>
  </si>
  <si>
    <t>2003 à 2009</t>
  </si>
  <si>
    <t>Affluents du Rhône/ Extrapolation, Représentativité</t>
  </si>
  <si>
    <t>Géorépertoire</t>
  </si>
  <si>
    <t>Bourse Cemagref + 26 800 (contributions laboratoire)</t>
  </si>
  <si>
    <t>3 ans (2004-2007)</t>
  </si>
  <si>
    <t>Bourse Ademe/CNR (85 Keuros), METL/ENTPE (30 Keuros), CNR (10 Keuros)</t>
  </si>
  <si>
    <t>3 ans (2003-2005)</t>
  </si>
  <si>
    <t>366 Keuros (RGCU : 50%)) + Contributions des laboratoires</t>
  </si>
  <si>
    <t>190 000 Euros / ans MEDD</t>
  </si>
  <si>
    <t>Analyse sociologique du parcours d'une action publique environnementale..RCC Montélimar et Donzère Mondragon</t>
  </si>
  <si>
    <t>70 K euros</t>
  </si>
  <si>
    <t>Fame 2004 - CSP, Autofinancement</t>
  </si>
  <si>
    <t>40 K euros INRA INSERN , ONCPS</t>
  </si>
  <si>
    <t>Florence Richard Schott</t>
  </si>
  <si>
    <t>17320 Région ( recherche)</t>
  </si>
  <si>
    <t>Région</t>
  </si>
  <si>
    <t>200 K Euros dont 50% Feder 50% contributions françaises</t>
  </si>
  <si>
    <t>Ph. Sabatier</t>
  </si>
  <si>
    <t>Claire Combe + Emmanuelle Delahaye + Christiane Alonso en mastère recherhce</t>
  </si>
  <si>
    <t>A Noir</t>
  </si>
  <si>
    <t>JG Wasson</t>
  </si>
  <si>
    <t>Programme européen Fame, CSP</t>
  </si>
  <si>
    <t>D. Pont</t>
  </si>
  <si>
    <t>G Bornette</t>
  </si>
  <si>
    <t>2003-2005</t>
  </si>
  <si>
    <t>H Piegay</t>
  </si>
  <si>
    <t>financé dans le cadre de la fiche 20</t>
  </si>
  <si>
    <t>ancien n°</t>
  </si>
  <si>
    <t>Traits biologiques</t>
  </si>
  <si>
    <t xml:space="preserve">Suivi Drône et GPS </t>
  </si>
  <si>
    <t>CNR - AE P10</t>
  </si>
  <si>
    <t>Autofinancement</t>
  </si>
  <si>
    <t>C8</t>
  </si>
  <si>
    <t>Impacts des eaux pluviales sur les grands lacs alpins</t>
  </si>
  <si>
    <t>2005 à 2008</t>
  </si>
  <si>
    <t>bourse M de l'équipement - thèse démarrée en 2005</t>
  </si>
  <si>
    <t xml:space="preserve">Evaluation de la part des apports souterrains dans l'alimentation des eaux de surface </t>
  </si>
  <si>
    <t>2005 à 2012</t>
  </si>
  <si>
    <t xml:space="preserve">30105 + financement dans le cadre de la fiche 20, et 22 </t>
  </si>
  <si>
    <t>30105 - AO gouvernance/ SHS ????</t>
  </si>
  <si>
    <t>B. Montuelle</t>
  </si>
  <si>
    <t>SHS : 15000</t>
  </si>
  <si>
    <t>CORA</t>
  </si>
  <si>
    <t>1 thèse Ademe Cnr</t>
  </si>
  <si>
    <t>oui</t>
  </si>
  <si>
    <t>Durée du projet et années de réalisation</t>
  </si>
  <si>
    <t>Thèse financée</t>
  </si>
  <si>
    <t>17320 + thèse florence</t>
  </si>
  <si>
    <t>Autofinancemement par organisme de rattachement du laboratoire (hors consolidation)</t>
  </si>
  <si>
    <t>2000 ( MELT et M Culture)</t>
  </si>
  <si>
    <t>financement par Melt</t>
  </si>
  <si>
    <t>163990 en fonctionnement et 57 533 investissement</t>
  </si>
  <si>
    <t>110 001 fonctionnement  et 29 555 investissement</t>
  </si>
  <si>
    <t>Life Eaux et fôret, Life Ain, IFB, ville de Givors, Siabva, PNRZH</t>
  </si>
  <si>
    <t>A2</t>
  </si>
  <si>
    <t>A3</t>
  </si>
  <si>
    <t>A6</t>
  </si>
  <si>
    <t>A8</t>
  </si>
  <si>
    <t>A9</t>
  </si>
  <si>
    <t>B1</t>
  </si>
  <si>
    <t>B6</t>
  </si>
  <si>
    <t>B7</t>
  </si>
  <si>
    <t>B9</t>
  </si>
  <si>
    <t>B10</t>
  </si>
  <si>
    <t>C1</t>
  </si>
  <si>
    <t>C3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</si>
  <si>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</si>
  <si>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</si>
  <si>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</si>
  <si>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</si>
  <si>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</si>
  <si>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</si>
  <si>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</si>
  <si>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</si>
  <si>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</si>
  <si>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Financement attendus
hors programme finalisé de la ZABR</t>
  </si>
  <si>
    <t>Financement obtenu hors programme finalisé de la ZABR</t>
  </si>
  <si>
    <t>Financement demandé dans le cadre du programme finalisé de la ZABR</t>
  </si>
  <si>
    <t>Financement demandé dans le cadre du programme finalisé de la ZABR: 
ANNEE 1</t>
  </si>
  <si>
    <t xml:space="preserve">Région </t>
  </si>
  <si>
    <t xml:space="preserve">CNR </t>
  </si>
  <si>
    <t xml:space="preserve">Grand Lyon  </t>
  </si>
  <si>
    <t xml:space="preserve">Autres Financements non cités </t>
  </si>
  <si>
    <t>5 ans (2004-2008)</t>
  </si>
  <si>
    <t xml:space="preserve">10100 : AO Gouvernance (fiche 7) et EVS CNRS (fiche 22) ; 70000 : suivi scientifique plan décennal (fiche 12)                       </t>
  </si>
  <si>
    <t>10 mois (juin 2004-mars 2005)</t>
  </si>
  <si>
    <t xml:space="preserve">bourse cemagref. Cout personnel </t>
  </si>
  <si>
    <t>S. Puijalon</t>
  </si>
  <si>
    <t>programme européen LIFE (25 000 €)</t>
  </si>
  <si>
    <t>3 ans (2005-2007)</t>
  </si>
  <si>
    <t>50 000 Min Rech (ACI ECCO)</t>
  </si>
  <si>
    <t>90 000/an</t>
  </si>
  <si>
    <t>1 thèse sur bourse INRA-Cemagref</t>
  </si>
  <si>
    <t xml:space="preserve"> 50% du fonctionnement et 30 % de l'investissement fournis par laboratoires partenaires</t>
  </si>
  <si>
    <t>25 ke</t>
  </si>
  <si>
    <t xml:space="preserve">10 ke  </t>
  </si>
  <si>
    <t>10 ke</t>
  </si>
  <si>
    <t>29 Ke</t>
  </si>
  <si>
    <t>15 ke</t>
  </si>
  <si>
    <t>A4</t>
  </si>
  <si>
    <t>A5</t>
  </si>
  <si>
    <t>A 7</t>
  </si>
  <si>
    <t>B4</t>
  </si>
  <si>
    <t>C7</t>
  </si>
  <si>
    <t>Nom de l'action</t>
  </si>
  <si>
    <t xml:space="preserve">A1  </t>
  </si>
  <si>
    <t>pression sur la ressource dans le bassin du Rhône</t>
  </si>
  <si>
    <t>La gestion muticritère des corridors fluviaux de l'Arc alpin</t>
  </si>
  <si>
    <t>Etude des micropolluants - relations avec la dynamique des populations de loutres</t>
  </si>
  <si>
    <t>gouvernance de l'eau en question</t>
  </si>
  <si>
    <t>Evaluation de gains biologoqies et écologique associés à une réduction d'intrans polluants en milieu aquatique</t>
  </si>
  <si>
    <t>C2</t>
  </si>
  <si>
    <t>Scénarios de gestion de matériaux de dragage du cours d'eau : Rôle de la microflore dans le devenir des polluants</t>
  </si>
  <si>
    <t>Suivi scientifique du Programme décennal - analyse socio ethnologique</t>
  </si>
  <si>
    <t>Etude d'impact pour la mise en navigabilité du Haut Rhône</t>
  </si>
  <si>
    <t>24 mois</t>
  </si>
  <si>
    <t>en cours</t>
  </si>
  <si>
    <t>fini</t>
  </si>
  <si>
    <t>Etat des lieux</t>
  </si>
  <si>
    <t>Connaissance et modélisation des flux hydrauliques et polluants produits par les BV urbanisés</t>
  </si>
  <si>
    <t xml:space="preserve">12000 attribué en 2004 </t>
  </si>
  <si>
    <t>Autofinancement Cemagref</t>
  </si>
  <si>
    <t>2002 à 2006</t>
  </si>
  <si>
    <t>2000 à 2003</t>
  </si>
  <si>
    <t>Thématique prioritaire</t>
  </si>
  <si>
    <t>290 000 MEDD et RGCU</t>
  </si>
  <si>
    <t>A 10</t>
  </si>
  <si>
    <t>2006 - 2009</t>
  </si>
  <si>
    <t>***</t>
  </si>
  <si>
    <t>Agence de 'lEau, Région, MELT et M Culture</t>
  </si>
  <si>
    <t>Agence de l'Eau - CNRS- DIREN - Région - CNR</t>
  </si>
  <si>
    <t>MEDD</t>
  </si>
  <si>
    <t>oui ( à quelle hauteur?)</t>
  </si>
  <si>
    <t>Stratégies adaptatives des végétaux aquatiques dans les zones humides</t>
  </si>
  <si>
    <t>**</t>
  </si>
  <si>
    <t xml:space="preserve">programme européen LIFE </t>
  </si>
  <si>
    <t>2003 à 2006</t>
  </si>
  <si>
    <t>Risque d'inondation par ruissellement urbain : application au cas de l'agglomération lyonnaise</t>
  </si>
  <si>
    <r>
      <t>Prévision des risques biologiques émergents liés aux zones humides</t>
    </r>
    <r>
      <rPr>
        <b/>
        <sz val="26"/>
        <rFont val="Arial"/>
        <family val="2"/>
      </rPr>
      <t xml:space="preserve"> </t>
    </r>
  </si>
  <si>
    <t>*</t>
  </si>
  <si>
    <t>INRA INSERN , ONCPS</t>
  </si>
  <si>
    <t>CNR - Région - Life Eaux et fôret, Life Ain, IFB, ville de Givors, Siabva, PNRZH</t>
  </si>
  <si>
    <t>CNRS - Région</t>
  </si>
  <si>
    <t>CORA - Région</t>
  </si>
  <si>
    <t xml:space="preserve">CNRS </t>
  </si>
  <si>
    <t>conservation des habitats crées par la dynamique de la rivière d'Ain</t>
  </si>
  <si>
    <t>Organisme?</t>
  </si>
  <si>
    <t>M recherche - INRA - Cemagref</t>
  </si>
  <si>
    <t xml:space="preserve">Rhône linéaire </t>
  </si>
  <si>
    <t xml:space="preserve">Agence de l'eau - CNR - DIREN - </t>
  </si>
  <si>
    <t>HT</t>
  </si>
  <si>
    <t>Outils et modèles pour la mise en oeuvre de la DCE ; conditions de référence et modèles pressions/impacts pour les cours d'eau</t>
  </si>
  <si>
    <t>Modifications anthropiques des flux sédimentaires des cours d'eau, réponses des écosystèmes aquatiques et actions de restauration</t>
  </si>
  <si>
    <t>Connaissance des flux sédimentaires en lit mineur et incidence sur la gestion des flux d'eau : la vallée de la Drôme</t>
  </si>
  <si>
    <t>Date de création</t>
  </si>
  <si>
    <t>Date de fin</t>
  </si>
  <si>
    <t>1999- 2009</t>
  </si>
  <si>
    <t>B12</t>
  </si>
  <si>
    <t>Créateurs de Drôme</t>
  </si>
  <si>
    <t xml:space="preserve">Région RA </t>
  </si>
  <si>
    <t>Région PACA</t>
  </si>
  <si>
    <t>Equipe pilote</t>
  </si>
  <si>
    <t>Contact</t>
  </si>
  <si>
    <t>Equipe associée</t>
  </si>
  <si>
    <t>Sites</t>
  </si>
  <si>
    <t>Thèmes</t>
  </si>
  <si>
    <t>Thèse</t>
  </si>
  <si>
    <t>DEA</t>
  </si>
  <si>
    <t>Stage</t>
  </si>
  <si>
    <t>UMR 5023</t>
  </si>
  <si>
    <t>Cemagref Lyon, UMR 5600, université de genève</t>
  </si>
  <si>
    <t>Axe RS</t>
  </si>
  <si>
    <t>Cemagref Montpellier et UMR 5600</t>
  </si>
  <si>
    <t>Université de Provence, MDFR, Cemagref Aix, Université Lyon 3, UMR 612Espace</t>
  </si>
  <si>
    <t>Drôme</t>
  </si>
  <si>
    <t>HT ou TTC</t>
  </si>
  <si>
    <t>Budget total</t>
  </si>
  <si>
    <t>Subvention</t>
  </si>
  <si>
    <t>MEDAD</t>
  </si>
  <si>
    <t>A15</t>
  </si>
  <si>
    <t>restauration des zones humides fluviales : de la prévision à la mesure du bénéfice écologique et social</t>
  </si>
  <si>
    <t>UMR 5600</t>
  </si>
  <si>
    <t>th 2 et 4</t>
  </si>
  <si>
    <t>C9</t>
  </si>
  <si>
    <t>Caractérisation sédimentologique, géophysique et géochimique des sédiments du Rhône - casiers</t>
  </si>
  <si>
    <t>UMR5600 lyon 2</t>
  </si>
  <si>
    <t>Entpe</t>
  </si>
  <si>
    <t>th 2 et 3</t>
  </si>
  <si>
    <t>ENTPE</t>
  </si>
  <si>
    <t>Sollicitation</t>
  </si>
  <si>
    <t>Axelera</t>
  </si>
  <si>
    <t>C10</t>
  </si>
  <si>
    <t>Schéma directeur pour l'élargissement du Rhône</t>
  </si>
  <si>
    <t>UMR 5600 Lyon 2</t>
  </si>
  <si>
    <t>th2 et4</t>
  </si>
  <si>
    <t>labelisé par le CD le 12/12/2007 - projet en cours</t>
  </si>
  <si>
    <t>subvention 2007</t>
  </si>
  <si>
    <t>subvention 2008</t>
  </si>
  <si>
    <t>Subvention 2009</t>
  </si>
  <si>
    <t>Restauration écologique et développement territorial : Le Haut Rhône francais</t>
  </si>
  <si>
    <t>C11</t>
  </si>
  <si>
    <t>labelisé par le CD le 25/03/08 - projet en cours</t>
  </si>
  <si>
    <t>MDFR</t>
  </si>
  <si>
    <t>UMR5023</t>
  </si>
  <si>
    <t>Subvention 2010</t>
  </si>
  <si>
    <t>Etude et analyse du fonctionnement biologique et trophique de la Saône dans le territoire du Grand Lyon</t>
  </si>
  <si>
    <t xml:space="preserve">Cemagref Lyon, Inra de thonon, ENTPE, Aralep,Burgeap, asconit, </t>
  </si>
  <si>
    <t>th2 et 3</t>
  </si>
  <si>
    <t>Subvention 2006</t>
  </si>
  <si>
    <t>Autre</t>
  </si>
  <si>
    <t>th2</t>
  </si>
  <si>
    <t>Transfert des contaminants hydrophobes dans le Rhône du sédiment au biote</t>
  </si>
  <si>
    <t>Cemagref de Lyon</t>
  </si>
  <si>
    <t>ENTPE - UMR 5023</t>
  </si>
  <si>
    <t>th2et 3</t>
  </si>
  <si>
    <t>en cours hors ZABR</t>
  </si>
  <si>
    <t>n'a jamais démarré</t>
  </si>
  <si>
    <t>Cemagref, UMR 5600</t>
  </si>
  <si>
    <t>bassin versant - Axe RS</t>
  </si>
  <si>
    <t>EMSE</t>
  </si>
  <si>
    <t>UMR 5023 - Université d'Avignon</t>
  </si>
  <si>
    <t>BV Axe RS</t>
  </si>
  <si>
    <t>th1 et 2</t>
  </si>
  <si>
    <t>Cemagref UMR 5600</t>
  </si>
  <si>
    <t>th1 et 2 et 3 et 4</t>
  </si>
  <si>
    <t>Date de démarrage</t>
  </si>
  <si>
    <t>Université de Savoie</t>
  </si>
  <si>
    <t>th3</t>
  </si>
  <si>
    <t>Cemagref</t>
  </si>
  <si>
    <t>C12</t>
  </si>
  <si>
    <t>Evaluation du potentiel écologique dans une rivière urbaine fortement modifiée</t>
  </si>
  <si>
    <t>UMR 5600 Lyon 1</t>
  </si>
  <si>
    <t>OTHU</t>
  </si>
  <si>
    <t>UMR 5023 - Insa</t>
  </si>
  <si>
    <t>Y lyonnais</t>
  </si>
  <si>
    <t>th 1 et 4</t>
  </si>
  <si>
    <t>UMR 5023 - Cemagref Lyon Aix</t>
  </si>
  <si>
    <t>th 2</t>
  </si>
  <si>
    <t>9700 ( CNRS)</t>
  </si>
  <si>
    <t>EVL</t>
  </si>
  <si>
    <t>UMR 5023 - Cemagref - Cerege</t>
  </si>
  <si>
    <t>Drôme Durance</t>
  </si>
  <si>
    <t>Axe RS - Drôme - Othu</t>
  </si>
  <si>
    <t>Cemagref Lyon Aix - Cerege</t>
  </si>
  <si>
    <t>D7</t>
  </si>
  <si>
    <t>UMR 5600 lyon 2</t>
  </si>
  <si>
    <t>projet 2009</t>
  </si>
  <si>
    <t>INSA</t>
  </si>
  <si>
    <t>Axe RS - bassin versant</t>
  </si>
  <si>
    <t>C13</t>
  </si>
  <si>
    <t>CEREGE</t>
  </si>
  <si>
    <t>Ardières</t>
  </si>
  <si>
    <t>Cluster Environnement cluster 3 et 5</t>
  </si>
  <si>
    <t>Programme Ecoger Papier 2005-2008</t>
  </si>
  <si>
    <t>Programme Ecco PADYMA 2006-2008</t>
  </si>
  <si>
    <t>Programmes AMPERES - ANR Precod 2006-2008</t>
  </si>
  <si>
    <t>Programme interne Cemagref Pesticides</t>
  </si>
  <si>
    <t>Programme InBioprocess - ANR Biodiversité</t>
  </si>
  <si>
    <t>Convention ONF, CCVD CD SMRD</t>
  </si>
  <si>
    <t>Système d'évaluation intégré dans ouvrages infiltration</t>
  </si>
  <si>
    <t>Programme InBioprocess - ANR Biodiversité Drôme</t>
  </si>
  <si>
    <t xml:space="preserve">UMR 5600 / Cemagref Grenoble </t>
  </si>
  <si>
    <t xml:space="preserve">IWRnet </t>
  </si>
  <si>
    <t>AIDE ANR PRG ECOPLUIES (2005/2008)</t>
  </si>
  <si>
    <t>AIDE ANR PRG AVUPUR ( 2007/2010)</t>
  </si>
  <si>
    <t>AIDE ANR PRG INTEGREAU (2008/2011)</t>
  </si>
  <si>
    <t>AIDE DRAST- ACTION "Analyse des dynamiques d’évolution du colmatage d’ouvrages d’infiltration des eaux de ruissellement pluvial en relation avec les apports"</t>
  </si>
  <si>
    <t>Acquisition de matériel et instrumentation de l'observatoire OTHU</t>
  </si>
  <si>
    <t>Cemagref Lyon</t>
  </si>
  <si>
    <t>Cemagref Lyon, INRA (Dijon &amp; Thonon),</t>
  </si>
  <si>
    <t>Cemagref Lyon, INRA Thonon</t>
  </si>
  <si>
    <t>Cemagref lyon</t>
  </si>
  <si>
    <t>17971 Région LR</t>
  </si>
  <si>
    <t>PRESED Axelera</t>
  </si>
  <si>
    <t>D8</t>
  </si>
  <si>
    <t>Do tox : identification, caractérisation et devenir des différents composantes des EP potentiellement toxiques pour les milieux aquatiques</t>
  </si>
  <si>
    <t>Suivi physique et biologique des rivières en tresses et typologie</t>
  </si>
  <si>
    <t>D9</t>
  </si>
  <si>
    <t>LTHE, Entpe, Insa</t>
  </si>
  <si>
    <t>th1 et 3</t>
  </si>
  <si>
    <t>Atlas des Zones inondables</t>
  </si>
  <si>
    <t>th 2et 3</t>
  </si>
  <si>
    <t>Ardières Drôme</t>
  </si>
  <si>
    <t>Entpe BRGM Burgeap Grand Lyon Ingédia</t>
  </si>
  <si>
    <t>Lyon 3, Lyon 2, Insa</t>
  </si>
  <si>
    <t>Cemagref, CEA, ELTA, UJM, SCA</t>
  </si>
  <si>
    <t>EN TPE</t>
  </si>
  <si>
    <t>S. Barraud</t>
  </si>
  <si>
    <t>UMR 5023, UMR 5600</t>
  </si>
  <si>
    <t>projet en lien</t>
  </si>
  <si>
    <t>projet en lien ZABR</t>
  </si>
  <si>
    <t>C 14</t>
  </si>
  <si>
    <t>Axelera 100000</t>
  </si>
  <si>
    <t>CNRS ENTPE</t>
  </si>
  <si>
    <t>Cemagref IRSN</t>
  </si>
  <si>
    <t>206280 ( feder)</t>
  </si>
  <si>
    <t>ENGREF</t>
  </si>
  <si>
    <t>non assujetti</t>
  </si>
  <si>
    <t>Subvention 2011</t>
  </si>
  <si>
    <t>2006 -2007</t>
  </si>
  <si>
    <t>intégré dans C12</t>
  </si>
  <si>
    <t>C 15</t>
  </si>
  <si>
    <t>Evaluation des potentialités écologiques du Rhône</t>
  </si>
  <si>
    <t>UMR 5023 - UMR 5600</t>
  </si>
  <si>
    <t>12 mois</t>
  </si>
  <si>
    <t>Axe R</t>
  </si>
  <si>
    <t>C 16</t>
  </si>
  <si>
    <t>Genotox Cyprinidés du Rhône</t>
  </si>
  <si>
    <t>Axe Rhone</t>
  </si>
  <si>
    <t>B13</t>
  </si>
  <si>
    <t>Paléolimnologie des lacs d'altitudes</t>
  </si>
  <si>
    <t>Acquisition gestion valorisation données de l'observatoire</t>
  </si>
  <si>
    <t>Variflux</t>
  </si>
  <si>
    <t>LTHE</t>
  </si>
  <si>
    <t>Arc Isère</t>
  </si>
  <si>
    <t>2006-2007</t>
  </si>
  <si>
    <t>interreg Share</t>
  </si>
  <si>
    <t>programme Ecc2Co</t>
  </si>
  <si>
    <t>Subvention 2012</t>
  </si>
  <si>
    <t>2009-2012</t>
  </si>
  <si>
    <t>Interreg</t>
  </si>
  <si>
    <t>ANR Gestrans</t>
  </si>
  <si>
    <t>ANR</t>
  </si>
  <si>
    <t>2007-2009</t>
  </si>
  <si>
    <t>Drome</t>
  </si>
  <si>
    <t>Cemagref, UMR5600</t>
  </si>
  <si>
    <t>Arc Isère - Drôme</t>
  </si>
  <si>
    <t>Elaboration d'un outil opérationnel pour la maîrise des impacts des ouvrages d'infiltration d'eau de ruisselemnt pluvial sur le régime themrique des nappes phréatiques</t>
  </si>
  <si>
    <t>Aide ANR PRG Segteup</t>
  </si>
  <si>
    <t>2008-2011</t>
  </si>
  <si>
    <t>2007-2010</t>
  </si>
  <si>
    <t>AIDE meedem DRI-Actions</t>
  </si>
  <si>
    <t>programme Diva Dombes</t>
  </si>
  <si>
    <t>2008-2010</t>
  </si>
  <si>
    <t>ZH</t>
  </si>
  <si>
    <t>2010-2012</t>
  </si>
  <si>
    <t>Soutien ZA</t>
  </si>
  <si>
    <t>tous les sites</t>
  </si>
  <si>
    <t>AIDE DRAST - ACTIONS "Décantation des rejets pluviaux urbains en bassin de retenue : métrologie, modélisation, évolution physico-chimique des sédiments" – PHASE 1 et 2</t>
  </si>
  <si>
    <t>A Clemens</t>
  </si>
  <si>
    <t>GRAIE</t>
  </si>
  <si>
    <t>Subvention 2013</t>
  </si>
  <si>
    <t>Région LR</t>
  </si>
  <si>
    <t>FEDER</t>
  </si>
  <si>
    <t>EDF</t>
  </si>
  <si>
    <t>01/04/2009 rentre dans le cadre de l'OSR</t>
  </si>
  <si>
    <t>C17</t>
  </si>
  <si>
    <t>Représentation des micropolluants toxiques</t>
  </si>
  <si>
    <t>A Vincent</t>
  </si>
  <si>
    <t>UMR 8562- ENTPE</t>
  </si>
  <si>
    <t>th4</t>
  </si>
  <si>
    <t>D10</t>
  </si>
  <si>
    <t>S; Barraud</t>
  </si>
  <si>
    <t>UMR 5023 Lehna ( ENTPE)</t>
  </si>
  <si>
    <t>Processus écologique et sociaux pour optimiser la gestion des espèces invasives exotiques : le cas de la Renouée</t>
  </si>
  <si>
    <t>A Honegger</t>
  </si>
  <si>
    <t>18 mois</t>
  </si>
  <si>
    <t>Axe Rhone et affluents</t>
  </si>
  <si>
    <t>th2 et 4</t>
  </si>
  <si>
    <t>D11</t>
  </si>
  <si>
    <t>Impact des rejets urbains de l'agglomération grenobloise sur la qualité des eaux de l'Isère</t>
  </si>
  <si>
    <t>Cemagref HH et Maly</t>
  </si>
  <si>
    <t>3 ans</t>
  </si>
  <si>
    <t>th2et th3</t>
  </si>
  <si>
    <t>Metro : 126</t>
  </si>
  <si>
    <t>Wetchange</t>
  </si>
  <si>
    <t>EMSE et Cemagref</t>
  </si>
  <si>
    <t>HT = TTC</t>
  </si>
  <si>
    <t>Projet Eaux souterraine ONEMA</t>
  </si>
  <si>
    <t>on en est ou?</t>
  </si>
  <si>
    <t>Modélisation dynamique des populations pour comprendre les effets in situ des contaminants de l'individu à l'écosystème</t>
  </si>
  <si>
    <t>Ardière</t>
  </si>
  <si>
    <t>Cemagref Maly</t>
  </si>
  <si>
    <t>Arnaud Chaumot</t>
  </si>
  <si>
    <t>Déposé E2Cco 2010</t>
  </si>
  <si>
    <t>the3</t>
  </si>
  <si>
    <t>2011 et 2012</t>
  </si>
  <si>
    <t>Projet Gravefin</t>
  </si>
  <si>
    <t>D12</t>
  </si>
  <si>
    <t>Etude du fonctionnement du champs captant de crépieux Charmy</t>
  </si>
  <si>
    <t>UMR 5023 - LTHE</t>
  </si>
  <si>
    <t>T Datry</t>
  </si>
  <si>
    <t>Assèchement, biodiversité et processus écologiques</t>
  </si>
  <si>
    <t>UMR 5023 - ENTPE</t>
  </si>
  <si>
    <t>Projet en lien ZABR</t>
  </si>
  <si>
    <t>cours d'eau temporaires de France - carto modélisation</t>
  </si>
  <si>
    <t>1 an</t>
  </si>
  <si>
    <t>Onema</t>
  </si>
  <si>
    <t>Efficacité des bassins de rétention des EP en matière d'abattement des flux de substances prioritaires et d'ecotoxicité des rejets</t>
  </si>
  <si>
    <t>LGCIE - INSA/UCBL</t>
  </si>
  <si>
    <t>2006-2009</t>
  </si>
  <si>
    <t xml:space="preserve">AIDE ANR PRG INVASION </t>
  </si>
  <si>
    <t>UCBL BPOE</t>
  </si>
  <si>
    <t>UCBL BPOE, CEMAGREF UR HH, UCBL lsa, LYON 2 lrge</t>
  </si>
  <si>
    <t>AIDE ANR- Villes Durables - PRG OMEGA : "Outil MEthodologique d'aide à la Gestion intégrée d'un système d'Assainissement"</t>
  </si>
  <si>
    <t>insa lgcie edu-lyon1-cemagref/engees - lde</t>
  </si>
  <si>
    <t>2010-2013</t>
  </si>
  <si>
    <t>AIDE PRG GESSOL FAFF - FONCTION FILTRATION D'UN OUVRAGE URBAIN -CONSEQUENCE SUR LA FORMATION D'UN ANTHROPOSOL</t>
  </si>
  <si>
    <t>ENTPE L.S.E</t>
  </si>
  <si>
    <t>L.S.E, lthe,inra,lrpc</t>
  </si>
  <si>
    <t>2011-2013</t>
  </si>
  <si>
    <t>AIDE C2D2 PRG COACHS  - Instrumentation intégrée des déversoirs d'orage</t>
  </si>
  <si>
    <t>lgcie, LCPC,IMF strasbourg, gmcea</t>
  </si>
  <si>
    <t>2010-2014</t>
  </si>
  <si>
    <t>TTC</t>
  </si>
  <si>
    <t>Projet Européen FP7 - PRG : PREPARED Enabling Change (2010-2014)</t>
  </si>
  <si>
    <t>Programme « environnement et risques naturels » du RST. Opération de recherche 11M102 : « Gérer durablement les eaux pluviales ».</t>
  </si>
  <si>
    <t>LGCIE, ITUS, LYON 3</t>
  </si>
  <si>
    <t>LCPC, CSTB, CERTU, CETE et ENTPE</t>
  </si>
  <si>
    <t>LSA - UCBL</t>
  </si>
  <si>
    <t>aide ANR Villes Durables - PRG INOGEV (2010-2014) : Innovations pour la gestion durable de l’eau en Ville - connaissance et maîtrise de la contamination des eaux pluviales urbaines</t>
  </si>
  <si>
    <t>ENTPE UMR 5023</t>
  </si>
  <si>
    <t>2009- 2011</t>
  </si>
  <si>
    <t xml:space="preserve"> REDIVEG -Connectivité et restauration des zones humides : quels bénéfices pour la diversité génétique des populations végétales ? </t>
  </si>
  <si>
    <t>REDIFON Bénéfice des restaurations de zones humides fluviales</t>
  </si>
  <si>
    <t>C19</t>
  </si>
  <si>
    <r>
      <t>Pest-Expo : Evaluation de la qualité chimique et biologique des cours d’eau : pertinence, atouts, limites et domaine de validité d’un panel de méthodes d’échantillonnage in situ</t>
    </r>
    <r>
      <rPr>
        <b/>
        <sz val="12"/>
        <color indexed="10"/>
        <rFont val="Arial"/>
        <family val="2"/>
      </rPr>
      <t xml:space="preserve"> (ligne 27)</t>
    </r>
  </si>
  <si>
    <t>Christelle Margoum</t>
  </si>
  <si>
    <t>Cemagref Lyon et Bordeaux</t>
  </si>
  <si>
    <t>4 ans</t>
  </si>
  <si>
    <t>déposé (accord de financement AERM&amp;C, demande de financement ADR Cluster Environnement)</t>
  </si>
  <si>
    <t>Véronique Gouy</t>
  </si>
  <si>
    <t>déposé EC2CO</t>
  </si>
  <si>
    <t>Stéphane Pesce</t>
  </si>
  <si>
    <t xml:space="preserve">       </t>
  </si>
  <si>
    <t>Cemagref Lyon, Montpellier, Clermont Ferrand; INRA Grigon, AgroParisTech, Arvalis, INRA de Rennes, UIPP</t>
  </si>
  <si>
    <t>Un SIE Pesticides pour la réduction de l’impact des produits phytosanitaires sur l’environnement</t>
  </si>
  <si>
    <t xml:space="preserve">en cours </t>
  </si>
  <si>
    <t>Cemagref Lyon, Montpellier, Clermont Ferrand et Bordeaux</t>
  </si>
  <si>
    <t xml:space="preserve">SENDEFO : Etudes i/ des effets du tébuconazole sur les communautés bactériennes de la Morcille et ii/ des capacités de ces communautés à dégrader ce fongicides </t>
  </si>
  <si>
    <t xml:space="preserve">UMR BIOEMCO, Paris; INRA, UMR CARRTEL, Thonon; UMR CNRS 6023, LMGE, U. Clermont II; UMR CNRS 5557, LEM, U. Lyon I , UMR CNRS 6605, LPMM, U. Clermont II </t>
  </si>
  <si>
    <t>SAAM</t>
  </si>
  <si>
    <t>Evaluation et remédiation des effets des pesticides</t>
  </si>
  <si>
    <t>INRA de Thonon et de Dijon</t>
  </si>
  <si>
    <t>2009-2011</t>
  </si>
  <si>
    <t>th1 th2</t>
  </si>
  <si>
    <t>th2 et th4</t>
  </si>
  <si>
    <t>th2 th 4</t>
  </si>
  <si>
    <t>Ain</t>
  </si>
  <si>
    <t>th 2et4</t>
  </si>
  <si>
    <t>B Camenen</t>
  </si>
  <si>
    <r>
      <t>c</t>
    </r>
    <r>
      <rPr>
        <sz val="12"/>
        <rFont val="Arial"/>
        <family val="2"/>
      </rPr>
      <t xml:space="preserve">aractérisation de l’exposition des organismes à des mélanges de substances à faibles concentrations et effets associés (dont couplage capteurs passifs et bio-essais) </t>
    </r>
  </si>
  <si>
    <t>acquis</t>
  </si>
  <si>
    <t>projet ZABR</t>
  </si>
  <si>
    <t>C20</t>
  </si>
  <si>
    <t>Echanges nappes/rivieres rhone Seine Loire Rhin</t>
  </si>
  <si>
    <t>UMR 5023 - Cemagref Lyon et Paris, Univ Strsbourg, UMR Sisyphe, Geosciences Mines de Paris</t>
  </si>
  <si>
    <t>2011 -2013</t>
  </si>
  <si>
    <t>Axe Rhône</t>
  </si>
  <si>
    <t>2009-2010</t>
  </si>
  <si>
    <t>Miriphyque : Mise au point de descripteurs du risque de contamination des eaux de
surface par les phytosanitaires à l’échelle du bassin versant. Prise en compte des dimensions spatiales et temporelles. Appui à l’évaluation et à la gestion du risque.</t>
  </si>
  <si>
    <t>2010- 2012</t>
  </si>
  <si>
    <t>Zones humides</t>
  </si>
  <si>
    <t xml:space="preserve">SAAM </t>
  </si>
  <si>
    <t>2 et 3</t>
  </si>
  <si>
    <t>3 et 4</t>
  </si>
  <si>
    <t>1 et 2</t>
  </si>
  <si>
    <t>2 et 4</t>
  </si>
  <si>
    <t xml:space="preserve"> 2 et 3</t>
  </si>
  <si>
    <t>ENTPE -ENS</t>
  </si>
  <si>
    <t>2010-2011</t>
  </si>
  <si>
    <t>E2Cco 2010</t>
  </si>
  <si>
    <t xml:space="preserve">Total subventions acquises </t>
  </si>
  <si>
    <t>Animation de la ZABR</t>
  </si>
  <si>
    <t>labelisé par le CD le 4/06/08 - projet en cours qui bascule sur C21 à comter de 2009</t>
  </si>
  <si>
    <t>33, puis A11</t>
  </si>
  <si>
    <t>Observation sociale</t>
  </si>
  <si>
    <t>C22</t>
  </si>
  <si>
    <t>labelisé en CD 24/09/07 - projet fini</t>
  </si>
  <si>
    <t>Inee CNRS</t>
  </si>
  <si>
    <t>38 et C8</t>
  </si>
  <si>
    <t>B2</t>
  </si>
  <si>
    <t>Caractérisation du corridor naturel alluvial et orthophoto - imagerie</t>
  </si>
  <si>
    <t>A Honegger, UMR 5600 - F. Piola, UMR 5023</t>
  </si>
  <si>
    <t>A. Vincent, MDFR et A Honegger, UMR 5600</t>
  </si>
  <si>
    <t>G. Bornette, UMR 5023</t>
  </si>
  <si>
    <t>D. Graillot, EMSE - Cemagref</t>
  </si>
  <si>
    <t>H Piegay, UMR 5600</t>
  </si>
  <si>
    <t>G. Bouleau, cemagref et A. Honegger, UMR 5600</t>
  </si>
  <si>
    <t>F. Arnaud, Université de Savoie</t>
  </si>
  <si>
    <t>en cours 2009-2013</t>
  </si>
  <si>
    <t>JM Olivier, UMR 5023 - N. Lamouroux, Cemagref</t>
  </si>
  <si>
    <t>M. Babut, Cemagref</t>
  </si>
  <si>
    <t>H Piegay, UMR 5600 et M Provansal, CEREGE</t>
  </si>
  <si>
    <t>Rhomeo</t>
  </si>
  <si>
    <t>Effets des variations hydrologiques et hydriques sur les assemblages microbiens d'un bassin d'infiltration d'EP</t>
  </si>
  <si>
    <t xml:space="preserve">AIDE Programme ESPRITqui est une des actions de recherche du projet RHODANOS au sein du pôle de compétitivité AXELERA "Chimie Environnement"
(financement relatif aux actions de recherche liées à l'OTHU)
</t>
  </si>
  <si>
    <t>Claude Durrieu</t>
  </si>
  <si>
    <t>Nicole Jaffrezic</t>
  </si>
  <si>
    <t>Pascal Molle</t>
  </si>
  <si>
    <t>Sylvie Barraud</t>
  </si>
  <si>
    <t>Laurence Volatier</t>
  </si>
  <si>
    <t>Isabelle Braud, Cemagref</t>
  </si>
  <si>
    <t>Benoit Cournoyer, Université Lyon 1</t>
  </si>
  <si>
    <t>Frédéric Cherqui, INSA</t>
  </si>
  <si>
    <t xml:space="preserve">Thierry WINIARSKI, ENTPE </t>
  </si>
  <si>
    <t xml:space="preserve">Gislain LIPEME KOUYI, INSA  </t>
  </si>
  <si>
    <t>Jean Luc Bertrand Krajewski, INSA</t>
  </si>
  <si>
    <t>Evelyne Martel, UMR 5023</t>
  </si>
  <si>
    <t>Gudrun Bornette, UMR 5023</t>
  </si>
  <si>
    <t>Nadia Carluer, Cemagref</t>
  </si>
  <si>
    <t>Stéphane Pesce, Cemagref</t>
  </si>
  <si>
    <t>Véronique Gouy, Cemagref</t>
  </si>
  <si>
    <t>J Nemery, LTHE</t>
  </si>
  <si>
    <t>A. Recking, Cemagref</t>
  </si>
  <si>
    <t>Thibault Datry, Cemagref</t>
  </si>
  <si>
    <t>JP Bravard, UMR 5600</t>
  </si>
  <si>
    <t>André Vincent, MDFR et Anne Honegger, UMR 5600</t>
  </si>
  <si>
    <t xml:space="preserve">André Vincent, MDFR </t>
  </si>
  <si>
    <t>Hervé Piegay, UMR 5600</t>
  </si>
  <si>
    <t>Marc Desmet, ENTPE</t>
  </si>
  <si>
    <t>Nicolas Lamouroux, Cemagref</t>
  </si>
  <si>
    <t>Alain Devaux, ENTPE - Jean Michel Olivier, UMR 5023</t>
  </si>
  <si>
    <t>André Vincent, MDFR</t>
  </si>
  <si>
    <t>Didier Graillot, EMSE</t>
  </si>
  <si>
    <t>Sylvie Barraud, INSA</t>
  </si>
  <si>
    <t>Julien Nemery, LTHE</t>
  </si>
  <si>
    <t>Thierry Winiarski, ENTPE</t>
  </si>
  <si>
    <t>repère</t>
  </si>
  <si>
    <t>Jean Paul  Bravard, UMR 5600</t>
  </si>
  <si>
    <t>Jean Paul Bravard, UMR 5600</t>
  </si>
  <si>
    <t>Sylvain  Doledec, UMR 5023</t>
  </si>
  <si>
    <t>Norbert Landon, UMR 5600</t>
  </si>
  <si>
    <t>Gérard Keck, EVL</t>
  </si>
  <si>
    <t>Sophie Alain, ENGREF</t>
  </si>
  <si>
    <t>Jean François Perrin, Cemagref</t>
  </si>
  <si>
    <t>Bernard Montuelle, Cemagref</t>
  </si>
  <si>
    <t>Janine Gibert, UMR 5023</t>
  </si>
  <si>
    <t>Yves Souchon, Cemagref</t>
  </si>
  <si>
    <t>Jean Philippe Bedell, ENTPE</t>
  </si>
  <si>
    <t>Jean Paul Bravard UMR 5600 - André Vincent, MDFR - Jean Michel Olivier, UMR 5023</t>
  </si>
  <si>
    <t>Henri Persat, UMR 5023</t>
  </si>
  <si>
    <t>Jean Paul Bravard UMR 5600</t>
  </si>
  <si>
    <t>Marcel Leroux, UMR 5600</t>
  </si>
  <si>
    <t>Yves Perrodin, ENTPE</t>
  </si>
  <si>
    <t>Pascal Breil, Cemagref</t>
  </si>
  <si>
    <t>Bernard Chocat, INSA</t>
  </si>
  <si>
    <t>Thierry Joliveau, UMR 5600</t>
  </si>
  <si>
    <t>Florian Malard, UMR 5023</t>
  </si>
  <si>
    <t>2004-2010</t>
  </si>
  <si>
    <t>2003 à 005</t>
  </si>
  <si>
    <t xml:space="preserve">Corridor rhodanien </t>
  </si>
  <si>
    <t>Les villes et l'eau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</si>
</sst>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&quot; €&quot;;[Red]\-#,##0&quot; €&quot;"/>
    <numFmt numFmtId="188" formatCode="#,##0.00&quot; €&quot;;[Red]\-#,##0.00&quot; €&quot;"/>
    <numFmt numFmtId="189" formatCode="_-* #,##0.0\ _€_-;\-* #,##0.0\ _€_-;_-* &quot;-&quot;??\ _€_-;_-@_-"/>
    <numFmt numFmtId="190" formatCode="_-* #,##0\ _€_-;\-* #,##0\ _€_-;_-* &quot;-&quot;??\ _€_-;_-@_-"/>
    <numFmt numFmtId="191" formatCode="&quot;Vrai&quot;;&quot;Vrai&quot;;&quot;Faux&quot;"/>
    <numFmt numFmtId="192" formatCode="&quot;Actif&quot;;&quot;Actif&quot;;&quot;Inactif&quot;"/>
    <numFmt numFmtId="193" formatCode="#,##0.00\ &quot;€&quot;"/>
    <numFmt numFmtId="194" formatCode="#,##0.0\ &quot;€&quot;"/>
    <numFmt numFmtId="195" formatCode="#,##0\ &quot;€&quot;"/>
    <numFmt numFmtId="196" formatCode="_-* #,##0.000\ _€_-;\-* #,##0.000\ _€_-;_-* &quot;-&quot;??\ _€_-;_-@_-"/>
    <numFmt numFmtId="197" formatCode="_-* #,##0.000\ &quot;€&quot;_-;\-* #,##0.000\ &quot;€&quot;_-;_-* &quot;-&quot;??\ &quot;€&quot;_-;_-@_-"/>
    <numFmt numFmtId="198" formatCode="_-* #,##0.0000\ &quot;€&quot;_-;\-* #,##0.0000\ &quot;€&quot;_-;_-* &quot;-&quot;??\ &quot;€&quot;_-;_-@_-"/>
    <numFmt numFmtId="199" formatCode="_-* #,##0.0\ &quot;€&quot;_-;\-* #,##0.0\ &quot;€&quot;_-;_-* &quot;-&quot;??\ &quot;€&quot;_-;_-@_-"/>
    <numFmt numFmtId="200" formatCode="_-* #,##0\ &quot;€&quot;_-;\-* #,##0\ &quot;€&quot;_-;_-* &quot;-&quot;??\ &quot;€&quot;_-;_-@_-"/>
    <numFmt numFmtId="201" formatCode="[$-40C]dddd\ d\ mmmm\ yyyy"/>
  </numFmts>
  <fonts count="2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22"/>
      <name val="Arial"/>
      <family val="0"/>
    </font>
    <font>
      <b/>
      <sz val="12"/>
      <name val="Arial Narrow"/>
      <family val="2"/>
    </font>
    <font>
      <sz val="8"/>
      <name val="Arial"/>
      <family val="2"/>
    </font>
    <font>
      <b/>
      <sz val="26"/>
      <name val="Arial"/>
      <family val="2"/>
    </font>
    <font>
      <sz val="22"/>
      <name val="Arial"/>
      <family val="0"/>
    </font>
    <font>
      <sz val="10"/>
      <name val="Tahoma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name val="Times New Roman"/>
      <family val="1"/>
    </font>
    <font>
      <sz val="12"/>
      <color indexed="18"/>
      <name val="Arial"/>
      <family val="2"/>
    </font>
    <font>
      <b/>
      <sz val="14"/>
      <name val="Tahoma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top" wrapText="1"/>
    </xf>
    <xf numFmtId="190" fontId="1" fillId="5" borderId="1" xfId="18" applyNumberFormat="1" applyFont="1" applyFill="1" applyBorder="1" applyAlignment="1">
      <alignment horizontal="right" vertical="top" wrapText="1"/>
    </xf>
    <xf numFmtId="0" fontId="0" fillId="5" borderId="1" xfId="0" applyFill="1" applyBorder="1" applyAlignment="1">
      <alignment horizontal="center" vertical="center" textRotation="90" wrapText="1"/>
    </xf>
    <xf numFmtId="190" fontId="2" fillId="5" borderId="1" xfId="18" applyNumberFormat="1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vertical="top" wrapText="1"/>
    </xf>
    <xf numFmtId="190" fontId="1" fillId="5" borderId="1" xfId="18" applyNumberFormat="1" applyFont="1" applyFill="1" applyBorder="1" applyAlignment="1">
      <alignment horizontal="right" vertical="top" wrapText="1"/>
    </xf>
    <xf numFmtId="0" fontId="1" fillId="6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wrapText="1"/>
    </xf>
    <xf numFmtId="190" fontId="1" fillId="6" borderId="1" xfId="18" applyNumberFormat="1" applyFont="1" applyFill="1" applyBorder="1" applyAlignment="1">
      <alignment horizontal="right" vertical="top" wrapText="1"/>
    </xf>
    <xf numFmtId="0" fontId="1" fillId="6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 wrapText="1"/>
    </xf>
    <xf numFmtId="0" fontId="0" fillId="6" borderId="1" xfId="0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vertical="top" wrapText="1"/>
    </xf>
    <xf numFmtId="3" fontId="1" fillId="6" borderId="1" xfId="0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left" vertical="top" wrapText="1"/>
    </xf>
    <xf numFmtId="190" fontId="1" fillId="6" borderId="1" xfId="18" applyNumberFormat="1" applyFont="1" applyFill="1" applyBorder="1" applyAlignment="1">
      <alignment horizontal="right" vertical="top" wrapText="1"/>
    </xf>
    <xf numFmtId="0" fontId="2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 wrapText="1"/>
    </xf>
    <xf numFmtId="6" fontId="0" fillId="5" borderId="1" xfId="0" applyNumberFormat="1" applyFill="1" applyBorder="1" applyAlignment="1">
      <alignment vertical="top" wrapText="1"/>
    </xf>
    <xf numFmtId="3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3" fontId="1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3" fontId="1" fillId="6" borderId="1" xfId="0" applyNumberFormat="1" applyFont="1" applyFill="1" applyBorder="1" applyAlignment="1">
      <alignment vertical="top" wrapText="1"/>
    </xf>
    <xf numFmtId="6" fontId="0" fillId="6" borderId="1" xfId="0" applyNumberFormat="1" applyFill="1" applyBorder="1" applyAlignment="1">
      <alignment vertical="top" wrapText="1"/>
    </xf>
    <xf numFmtId="3" fontId="1" fillId="6" borderId="1" xfId="0" applyNumberFormat="1" applyFont="1" applyFill="1" applyBorder="1" applyAlignment="1">
      <alignment horizontal="center" vertical="top" wrapText="1"/>
    </xf>
    <xf numFmtId="17" fontId="1" fillId="6" borderId="1" xfId="0" applyNumberFormat="1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top" wrapText="1"/>
    </xf>
    <xf numFmtId="3" fontId="2" fillId="5" borderId="1" xfId="0" applyNumberFormat="1" applyFont="1" applyFill="1" applyBorder="1" applyAlignment="1">
      <alignment horizontal="center" vertical="top" wrapText="1"/>
    </xf>
    <xf numFmtId="1" fontId="2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center" vertical="top" wrapText="1"/>
    </xf>
    <xf numFmtId="190" fontId="1" fillId="5" borderId="1" xfId="18" applyNumberFormat="1" applyFont="1" applyFill="1" applyBorder="1" applyAlignment="1">
      <alignment horizontal="center" vertical="top" wrapText="1"/>
    </xf>
    <xf numFmtId="190" fontId="2" fillId="5" borderId="1" xfId="18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center" textRotation="90" wrapText="1"/>
    </xf>
    <xf numFmtId="3" fontId="1" fillId="5" borderId="1" xfId="0" applyNumberFormat="1" applyFont="1" applyFill="1" applyBorder="1" applyAlignment="1">
      <alignment horizontal="center" vertical="top" wrapText="1"/>
    </xf>
    <xf numFmtId="190" fontId="1" fillId="5" borderId="1" xfId="18" applyNumberFormat="1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 textRotation="90" wrapText="1"/>
    </xf>
    <xf numFmtId="43" fontId="1" fillId="5" borderId="1" xfId="18" applyFont="1" applyFill="1" applyBorder="1" applyAlignment="1">
      <alignment vertical="top" wrapText="1"/>
    </xf>
    <xf numFmtId="0" fontId="0" fillId="6" borderId="3" xfId="0" applyFill="1" applyBorder="1" applyAlignment="1">
      <alignment wrapText="1"/>
    </xf>
    <xf numFmtId="0" fontId="0" fillId="6" borderId="1" xfId="0" applyFill="1" applyBorder="1" applyAlignment="1">
      <alignment horizontal="center" vertical="top" wrapText="1"/>
    </xf>
    <xf numFmtId="190" fontId="1" fillId="6" borderId="1" xfId="18" applyNumberFormat="1" applyFont="1" applyFill="1" applyBorder="1" applyAlignment="1">
      <alignment horizontal="center" vertical="top" wrapText="1"/>
    </xf>
    <xf numFmtId="0" fontId="0" fillId="6" borderId="3" xfId="0" applyFill="1" applyBorder="1" applyAlignment="1">
      <alignment horizontal="center" vertical="center" textRotation="90" wrapText="1"/>
    </xf>
    <xf numFmtId="43" fontId="1" fillId="6" borderId="1" xfId="18" applyFont="1" applyFill="1" applyBorder="1" applyAlignment="1">
      <alignment vertical="top" wrapText="1"/>
    </xf>
    <xf numFmtId="190" fontId="1" fillId="6" borderId="1" xfId="18" applyNumberFormat="1" applyFont="1" applyFill="1" applyBorder="1" applyAlignment="1">
      <alignment vertical="top" wrapText="1"/>
    </xf>
    <xf numFmtId="3" fontId="2" fillId="5" borderId="1" xfId="0" applyNumberFormat="1" applyFont="1" applyFill="1" applyBorder="1" applyAlignment="1">
      <alignment vertical="top" wrapText="1"/>
    </xf>
    <xf numFmtId="0" fontId="0" fillId="5" borderId="1" xfId="0" applyFill="1" applyBorder="1" applyAlignment="1">
      <alignment wrapText="1"/>
    </xf>
    <xf numFmtId="0" fontId="9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top" wrapText="1"/>
    </xf>
    <xf numFmtId="190" fontId="1" fillId="7" borderId="1" xfId="18" applyNumberFormat="1" applyFont="1" applyFill="1" applyBorder="1" applyAlignment="1">
      <alignment horizontal="right" vertical="top" wrapText="1"/>
    </xf>
    <xf numFmtId="0" fontId="1" fillId="7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horizontal="left" vertical="top" wrapText="1"/>
    </xf>
    <xf numFmtId="190" fontId="1" fillId="7" borderId="1" xfId="18" applyNumberFormat="1" applyFont="1" applyFill="1" applyBorder="1" applyAlignment="1">
      <alignment vertical="top" wrapText="1"/>
    </xf>
    <xf numFmtId="190" fontId="1" fillId="7" borderId="1" xfId="18" applyNumberFormat="1" applyFont="1" applyFill="1" applyBorder="1" applyAlignment="1">
      <alignment horizontal="center" vertical="top" wrapText="1"/>
    </xf>
    <xf numFmtId="190" fontId="1" fillId="7" borderId="1" xfId="18" applyNumberFormat="1" applyFont="1" applyFill="1" applyBorder="1" applyAlignment="1">
      <alignment horizontal="right" vertical="top" wrapText="1"/>
    </xf>
    <xf numFmtId="187" fontId="1" fillId="7" borderId="1" xfId="0" applyNumberFormat="1" applyFont="1" applyFill="1" applyBorder="1" applyAlignment="1">
      <alignment horizontal="center" vertical="top" wrapText="1"/>
    </xf>
    <xf numFmtId="3" fontId="1" fillId="7" borderId="1" xfId="0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17" fontId="1" fillId="5" borderId="1" xfId="0" applyNumberFormat="1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44" fontId="1" fillId="6" borderId="1" xfId="15" applyFont="1" applyFill="1" applyBorder="1" applyAlignment="1">
      <alignment horizontal="center" vertical="top" wrapText="1"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3" fontId="0" fillId="6" borderId="1" xfId="0" applyNumberFormat="1" applyFill="1" applyBorder="1" applyAlignment="1">
      <alignment/>
    </xf>
    <xf numFmtId="3" fontId="0" fillId="6" borderId="1" xfId="0" applyNumberFormat="1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6" borderId="1" xfId="0" applyFill="1" applyBorder="1" applyAlignment="1">
      <alignment/>
    </xf>
    <xf numFmtId="200" fontId="0" fillId="6" borderId="1" xfId="15" applyNumberFormat="1" applyFont="1" applyFill="1" applyBorder="1" applyAlignment="1" applyProtection="1">
      <alignment/>
      <protection locked="0"/>
    </xf>
    <xf numFmtId="200" fontId="0" fillId="6" borderId="1" xfId="15" applyNumberFormat="1" applyFont="1" applyFill="1" applyBorder="1" applyAlignment="1" applyProtection="1">
      <alignment horizontal="right"/>
      <protection locked="0"/>
    </xf>
    <xf numFmtId="44" fontId="0" fillId="6" borderId="1" xfId="15" applyFont="1" applyFill="1" applyBorder="1" applyAlignment="1" applyProtection="1">
      <alignment/>
      <protection locked="0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44" fontId="0" fillId="5" borderId="1" xfId="15" applyFont="1" applyFill="1" applyBorder="1" applyAlignment="1" applyProtection="1">
      <alignment/>
      <protection locked="0"/>
    </xf>
    <xf numFmtId="44" fontId="0" fillId="5" borderId="1" xfId="15" applyFont="1" applyFill="1" applyBorder="1" applyAlignment="1" applyProtection="1">
      <alignment horizontal="right"/>
      <protection locked="0"/>
    </xf>
    <xf numFmtId="0" fontId="10" fillId="6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190" fontId="1" fillId="6" borderId="1" xfId="0" applyNumberFormat="1" applyFont="1" applyFill="1" applyBorder="1" applyAlignment="1">
      <alignment horizontal="center" vertical="top" wrapText="1"/>
    </xf>
    <xf numFmtId="1" fontId="1" fillId="6" borderId="1" xfId="0" applyNumberFormat="1" applyFont="1" applyFill="1" applyBorder="1" applyAlignment="1">
      <alignment horizontal="center" vertical="top" wrapText="1"/>
    </xf>
    <xf numFmtId="1" fontId="1" fillId="6" borderId="1" xfId="0" applyNumberFormat="1" applyFont="1" applyFill="1" applyBorder="1" applyAlignment="1">
      <alignment vertical="top" wrapText="1"/>
    </xf>
    <xf numFmtId="190" fontId="1" fillId="5" borderId="1" xfId="18" applyNumberFormat="1" applyFont="1" applyFill="1" applyBorder="1" applyAlignment="1">
      <alignment vertical="top" wrapText="1"/>
    </xf>
    <xf numFmtId="0" fontId="0" fillId="5" borderId="1" xfId="0" applyFill="1" applyBorder="1" applyAlignment="1">
      <alignment horizontal="center" wrapText="1"/>
    </xf>
    <xf numFmtId="190" fontId="1" fillId="6" borderId="1" xfId="0" applyNumberFormat="1" applyFont="1" applyFill="1" applyBorder="1" applyAlignment="1">
      <alignment vertical="top" wrapText="1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right"/>
    </xf>
    <xf numFmtId="0" fontId="15" fillId="6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200" fontId="0" fillId="5" borderId="1" xfId="15" applyNumberFormat="1" applyFont="1" applyFill="1" applyBorder="1" applyAlignment="1" applyProtection="1">
      <alignment/>
      <protection locked="0"/>
    </xf>
    <xf numFmtId="1" fontId="0" fillId="6" borderId="1" xfId="0" applyNumberFormat="1" applyFill="1" applyBorder="1" applyAlignment="1">
      <alignment/>
    </xf>
    <xf numFmtId="0" fontId="11" fillId="5" borderId="3" xfId="0" applyFont="1" applyFill="1" applyBorder="1" applyAlignment="1">
      <alignment horizontal="center" vertical="center" textRotation="90" wrapText="1"/>
    </xf>
    <xf numFmtId="187" fontId="1" fillId="6" borderId="1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vertical="top" wrapText="1"/>
    </xf>
    <xf numFmtId="44" fontId="1" fillId="5" borderId="1" xfId="15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vertical="top" wrapText="1"/>
    </xf>
    <xf numFmtId="190" fontId="1" fillId="5" borderId="0" xfId="18" applyNumberFormat="1" applyFont="1" applyFill="1" applyBorder="1" applyAlignment="1">
      <alignment horizontal="right" vertical="top" wrapText="1"/>
    </xf>
    <xf numFmtId="0" fontId="1" fillId="5" borderId="0" xfId="0" applyFont="1" applyFill="1" applyBorder="1" applyAlignment="1">
      <alignment vertical="top" wrapText="1"/>
    </xf>
    <xf numFmtId="1" fontId="0" fillId="5" borderId="1" xfId="0" applyNumberForma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200" fontId="0" fillId="5" borderId="1" xfId="15" applyNumberFormat="1" applyFont="1" applyFill="1" applyBorder="1" applyAlignment="1" applyProtection="1">
      <alignment horizontal="right"/>
      <protection locked="0"/>
    </xf>
    <xf numFmtId="0" fontId="21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justify"/>
    </xf>
    <xf numFmtId="0" fontId="23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200" fontId="10" fillId="4" borderId="2" xfId="15" applyNumberFormat="1" applyFont="1" applyFill="1" applyBorder="1" applyAlignment="1">
      <alignment horizontal="center" vertical="center" wrapText="1"/>
    </xf>
    <xf numFmtId="200" fontId="1" fillId="5" borderId="1" xfId="15" applyNumberFormat="1" applyFont="1" applyFill="1" applyBorder="1" applyAlignment="1">
      <alignment horizontal="right" vertical="top" wrapText="1"/>
    </xf>
    <xf numFmtId="200" fontId="1" fillId="6" borderId="1" xfId="15" applyNumberFormat="1" applyFont="1" applyFill="1" applyBorder="1" applyAlignment="1">
      <alignment horizontal="right" vertical="top" wrapText="1"/>
    </xf>
    <xf numFmtId="200" fontId="1" fillId="7" borderId="1" xfId="15" applyNumberFormat="1" applyFont="1" applyFill="1" applyBorder="1" applyAlignment="1">
      <alignment horizontal="right" vertical="top" wrapText="1"/>
    </xf>
    <xf numFmtId="200" fontId="1" fillId="7" borderId="1" xfId="15" applyNumberFormat="1" applyFont="1" applyFill="1" applyBorder="1" applyAlignment="1">
      <alignment horizontal="right" vertical="top" wrapText="1"/>
    </xf>
    <xf numFmtId="200" fontId="1" fillId="6" borderId="1" xfId="15" applyNumberFormat="1" applyFont="1" applyFill="1" applyBorder="1" applyAlignment="1">
      <alignment horizontal="right" vertical="top" wrapText="1"/>
    </xf>
    <xf numFmtId="200" fontId="1" fillId="5" borderId="1" xfId="15" applyNumberFormat="1" applyFont="1" applyFill="1" applyBorder="1" applyAlignment="1">
      <alignment horizontal="right" vertical="top" wrapText="1"/>
    </xf>
    <xf numFmtId="200" fontId="0" fillId="6" borderId="1" xfId="15" applyNumberFormat="1" applyFill="1" applyBorder="1" applyAlignment="1">
      <alignment horizontal="right"/>
    </xf>
    <xf numFmtId="200" fontId="1" fillId="6" borderId="1" xfId="15" applyNumberFormat="1" applyFont="1" applyFill="1" applyBorder="1" applyAlignment="1">
      <alignment vertical="top" wrapText="1"/>
    </xf>
    <xf numFmtId="200" fontId="0" fillId="6" borderId="1" xfId="15" applyNumberFormat="1" applyFill="1" applyBorder="1" applyAlignment="1">
      <alignment/>
    </xf>
    <xf numFmtId="200" fontId="0" fillId="5" borderId="1" xfId="15" applyNumberFormat="1" applyFill="1" applyBorder="1" applyAlignment="1">
      <alignment/>
    </xf>
    <xf numFmtId="200" fontId="2" fillId="5" borderId="1" xfId="15" applyNumberFormat="1" applyFont="1" applyFill="1" applyBorder="1" applyAlignment="1">
      <alignment horizontal="right" vertical="top" wrapText="1"/>
    </xf>
    <xf numFmtId="200" fontId="0" fillId="6" borderId="1" xfId="15" applyNumberFormat="1" applyFill="1" applyBorder="1" applyAlignment="1">
      <alignment vertical="top" wrapText="1"/>
    </xf>
    <xf numFmtId="200" fontId="0" fillId="5" borderId="1" xfId="15" applyNumberFormat="1" applyFill="1" applyBorder="1" applyAlignment="1">
      <alignment vertical="top" wrapText="1"/>
    </xf>
    <xf numFmtId="200" fontId="1" fillId="6" borderId="1" xfId="15" applyNumberFormat="1" applyFont="1" applyFill="1" applyBorder="1" applyAlignment="1">
      <alignment horizontal="center" vertical="top" wrapText="1"/>
    </xf>
    <xf numFmtId="200" fontId="1" fillId="5" borderId="1" xfId="15" applyNumberFormat="1" applyFont="1" applyFill="1" applyBorder="1" applyAlignment="1">
      <alignment vertical="top" wrapText="1"/>
    </xf>
    <xf numFmtId="200" fontId="1" fillId="5" borderId="1" xfId="15" applyNumberFormat="1" applyFont="1" applyFill="1" applyBorder="1" applyAlignment="1">
      <alignment horizontal="center" vertical="top" wrapText="1"/>
    </xf>
    <xf numFmtId="200" fontId="1" fillId="6" borderId="1" xfId="15" applyNumberFormat="1" applyFont="1" applyFill="1" applyBorder="1" applyAlignment="1">
      <alignment horizontal="center" vertical="top" wrapText="1"/>
    </xf>
    <xf numFmtId="200" fontId="0" fillId="6" borderId="1" xfId="15" applyNumberFormat="1" applyFont="1" applyFill="1" applyBorder="1" applyAlignment="1">
      <alignment/>
    </xf>
    <xf numFmtId="200" fontId="1" fillId="0" borderId="1" xfId="15" applyNumberFormat="1" applyFont="1" applyFill="1" applyBorder="1" applyAlignment="1">
      <alignment horizontal="center" vertical="top" wrapText="1"/>
    </xf>
    <xf numFmtId="200" fontId="0" fillId="0" borderId="1" xfId="15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left" vertical="top" wrapText="1"/>
    </xf>
    <xf numFmtId="3" fontId="2" fillId="5" borderId="1" xfId="0" applyNumberFormat="1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3" fontId="1" fillId="5" borderId="1" xfId="0" applyNumberFormat="1" applyFont="1" applyFill="1" applyBorder="1" applyAlignment="1">
      <alignment horizontal="left" vertical="top" wrapText="1"/>
    </xf>
    <xf numFmtId="3" fontId="1" fillId="6" borderId="1" xfId="0" applyNumberFormat="1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center" wrapText="1"/>
    </xf>
    <xf numFmtId="14" fontId="1" fillId="6" borderId="1" xfId="0" applyNumberFormat="1" applyFont="1" applyFill="1" applyBorder="1" applyAlignment="1">
      <alignment horizontal="center" vertical="top" wrapText="1"/>
    </xf>
    <xf numFmtId="0" fontId="0" fillId="6" borderId="1" xfId="0" applyFill="1" applyBorder="1" applyAlignment="1">
      <alignment vertical="top" wrapText="1"/>
    </xf>
    <xf numFmtId="0" fontId="7" fillId="6" borderId="1" xfId="0" applyFont="1" applyFill="1" applyBorder="1" applyAlignment="1">
      <alignment horizontal="center" vertical="top" wrapText="1"/>
    </xf>
    <xf numFmtId="0" fontId="0" fillId="7" borderId="1" xfId="0" applyFill="1" applyBorder="1" applyAlignment="1">
      <alignment vertical="top" wrapText="1"/>
    </xf>
    <xf numFmtId="0" fontId="7" fillId="7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vertical="top" wrapText="1"/>
    </xf>
    <xf numFmtId="0" fontId="7" fillId="5" borderId="1" xfId="0" applyFont="1" applyFill="1" applyBorder="1" applyAlignment="1">
      <alignment horizontal="center" vertical="top" wrapText="1"/>
    </xf>
    <xf numFmtId="0" fontId="0" fillId="6" borderId="4" xfId="0" applyFill="1" applyBorder="1" applyAlignment="1">
      <alignment vertical="top" wrapText="1"/>
    </xf>
    <xf numFmtId="0" fontId="0" fillId="5" borderId="1" xfId="0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textRotation="90" wrapText="1"/>
    </xf>
    <xf numFmtId="0" fontId="7" fillId="6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left" vertical="top" textRotation="90" wrapText="1"/>
    </xf>
    <xf numFmtId="0" fontId="15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top" wrapText="1"/>
    </xf>
    <xf numFmtId="0" fontId="17" fillId="6" borderId="1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top" wrapText="1"/>
    </xf>
    <xf numFmtId="190" fontId="2" fillId="6" borderId="1" xfId="0" applyNumberFormat="1" applyFont="1" applyFill="1" applyBorder="1" applyAlignment="1">
      <alignment vertical="top" wrapText="1"/>
    </xf>
    <xf numFmtId="190" fontId="2" fillId="6" borderId="1" xfId="0" applyNumberFormat="1" applyFont="1" applyFill="1" applyBorder="1" applyAlignment="1">
      <alignment horizontal="center" vertical="top" wrapText="1"/>
    </xf>
    <xf numFmtId="200" fontId="2" fillId="6" borderId="1" xfId="15" applyNumberFormat="1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vertical="top" wrapText="1"/>
    </xf>
    <xf numFmtId="0" fontId="0" fillId="8" borderId="4" xfId="0" applyFill="1" applyBorder="1" applyAlignment="1">
      <alignment wrapText="1"/>
    </xf>
    <xf numFmtId="0" fontId="15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vertical="top" wrapText="1"/>
    </xf>
    <xf numFmtId="200" fontId="0" fillId="8" borderId="1" xfId="15" applyNumberFormat="1" applyFont="1" applyFill="1" applyBorder="1" applyAlignment="1" applyProtection="1">
      <alignment/>
      <protection locked="0"/>
    </xf>
    <xf numFmtId="200" fontId="1" fillId="8" borderId="1" xfId="15" applyNumberFormat="1" applyFont="1" applyFill="1" applyBorder="1" applyAlignment="1">
      <alignment horizontal="center" vertical="top" wrapText="1"/>
    </xf>
    <xf numFmtId="0" fontId="24" fillId="8" borderId="1" xfId="0" applyFont="1" applyFill="1" applyBorder="1" applyAlignment="1">
      <alignment horizontal="left" vertical="center" wrapText="1"/>
    </xf>
    <xf numFmtId="200" fontId="1" fillId="6" borderId="1" xfId="0" applyNumberFormat="1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top" wrapText="1"/>
    </xf>
    <xf numFmtId="200" fontId="0" fillId="5" borderId="1" xfId="15" applyNumberFormat="1" applyFill="1" applyBorder="1" applyAlignment="1">
      <alignment horizontal="center" vertical="top" wrapText="1"/>
    </xf>
    <xf numFmtId="0" fontId="0" fillId="5" borderId="1" xfId="0" applyFill="1" applyBorder="1" applyAlignment="1">
      <alignment horizontal="left"/>
    </xf>
    <xf numFmtId="3" fontId="0" fillId="5" borderId="1" xfId="0" applyNumberFormat="1" applyFill="1" applyBorder="1" applyAlignment="1">
      <alignment/>
    </xf>
    <xf numFmtId="3" fontId="0" fillId="5" borderId="1" xfId="0" applyNumberFormat="1" applyFill="1" applyBorder="1" applyAlignment="1">
      <alignment/>
    </xf>
    <xf numFmtId="3" fontId="0" fillId="5" borderId="1" xfId="0" applyNumberFormat="1" applyFill="1" applyBorder="1" applyAlignment="1">
      <alignment horizontal="right"/>
    </xf>
    <xf numFmtId="3" fontId="0" fillId="5" borderId="1" xfId="0" applyNumberFormat="1" applyFill="1" applyBorder="1" applyAlignment="1">
      <alignment horizontal="left"/>
    </xf>
    <xf numFmtId="44" fontId="0" fillId="5" borderId="1" xfId="15" applyFill="1" applyBorder="1" applyAlignment="1">
      <alignment horizontal="left" vertical="top" wrapText="1"/>
    </xf>
    <xf numFmtId="44" fontId="0" fillId="5" borderId="1" xfId="15" applyFill="1" applyBorder="1" applyAlignment="1">
      <alignment vertical="top" wrapText="1"/>
    </xf>
    <xf numFmtId="0" fontId="7" fillId="5" borderId="1" xfId="0" applyFont="1" applyFill="1" applyBorder="1" applyAlignment="1">
      <alignment horizontal="center" vertical="top" wrapText="1"/>
    </xf>
    <xf numFmtId="0" fontId="11" fillId="9" borderId="6" xfId="0" applyFont="1" applyFill="1" applyBorder="1" applyAlignment="1">
      <alignment horizontal="center" vertical="center" textRotation="90" wrapText="1"/>
    </xf>
    <xf numFmtId="0" fontId="11" fillId="9" borderId="3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11" fillId="8" borderId="3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wrapText="1"/>
    </xf>
    <xf numFmtId="0" fontId="11" fillId="10" borderId="5" xfId="0" applyFont="1" applyFill="1" applyBorder="1" applyAlignment="1">
      <alignment horizontal="center" vertical="center" textRotation="90"/>
    </xf>
    <xf numFmtId="0" fontId="11" fillId="10" borderId="3" xfId="0" applyFont="1" applyFill="1" applyBorder="1" applyAlignment="1">
      <alignment horizontal="center" vertical="center" textRotation="9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1" fillId="5" borderId="3" xfId="0" applyFont="1" applyFill="1" applyBorder="1" applyAlignment="1">
      <alignment horizontal="center" vertical="center" textRotation="90" wrapText="1"/>
    </xf>
    <xf numFmtId="0" fontId="11" fillId="9" borderId="3" xfId="0" applyFont="1" applyFill="1" applyBorder="1" applyAlignment="1">
      <alignment horizontal="center" vertical="center" textRotation="90" wrapText="1"/>
    </xf>
    <xf numFmtId="0" fontId="11" fillId="8" borderId="3" xfId="0" applyFont="1" applyFill="1" applyBorder="1" applyAlignment="1">
      <alignment horizontal="center" vertical="center" textRotation="90" wrapText="1"/>
    </xf>
    <xf numFmtId="0" fontId="11" fillId="10" borderId="3" xfId="0" applyFont="1" applyFill="1" applyBorder="1" applyAlignment="1">
      <alignment horizontal="center" vertical="center" textRotation="90"/>
    </xf>
    <xf numFmtId="0" fontId="1" fillId="6" borderId="4" xfId="0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left" vertical="top" wrapText="1"/>
    </xf>
    <xf numFmtId="0" fontId="10" fillId="6" borderId="0" xfId="0" applyFont="1" applyFill="1" applyAlignment="1">
      <alignment horizontal="left" vertical="top" wrapText="1"/>
    </xf>
    <xf numFmtId="0" fontId="10" fillId="6" borderId="4" xfId="0" applyFont="1" applyFill="1" applyBorder="1" applyAlignment="1">
      <alignment horizontal="left" vertical="top" wrapText="1"/>
    </xf>
    <xf numFmtId="0" fontId="11" fillId="9" borderId="5" xfId="0" applyFont="1" applyFill="1" applyBorder="1" applyAlignment="1">
      <alignment horizontal="center" vertical="center" textRotation="90" wrapText="1"/>
    </xf>
    <xf numFmtId="0" fontId="11" fillId="10" borderId="4" xfId="0" applyFont="1" applyFill="1" applyBorder="1" applyAlignment="1">
      <alignment horizontal="center" vertical="center" textRotation="90"/>
    </xf>
    <xf numFmtId="0" fontId="1" fillId="6" borderId="4" xfId="0" applyFont="1" applyFill="1" applyBorder="1" applyAlignment="1">
      <alignment vertical="top" wrapText="1"/>
    </xf>
    <xf numFmtId="0" fontId="0" fillId="7" borderId="1" xfId="0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0" fillId="6" borderId="1" xfId="0" applyFill="1" applyBorder="1" applyAlignment="1">
      <alignment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1" fillId="6" borderId="4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0" fillId="5" borderId="0" xfId="0" applyFill="1" applyAlignment="1">
      <alignment vertical="top" wrapText="1"/>
    </xf>
    <xf numFmtId="0" fontId="25" fillId="6" borderId="1" xfId="0" applyFont="1" applyFill="1" applyBorder="1" applyAlignment="1">
      <alignment/>
    </xf>
    <xf numFmtId="0" fontId="7" fillId="6" borderId="4" xfId="0" applyFont="1" applyFill="1" applyBorder="1" applyAlignment="1">
      <alignment horizontal="center" vertical="top" wrapText="1"/>
    </xf>
    <xf numFmtId="0" fontId="7" fillId="7" borderId="0" xfId="0" applyFont="1" applyFill="1" applyAlignment="1">
      <alignment horizontal="center" vertical="top" wrapText="1"/>
    </xf>
    <xf numFmtId="0" fontId="0" fillId="6" borderId="0" xfId="0" applyFill="1" applyAlignment="1">
      <alignment vertical="top" wrapText="1"/>
    </xf>
    <xf numFmtId="0" fontId="0" fillId="6" borderId="4" xfId="0" applyFill="1" applyBorder="1" applyAlignment="1">
      <alignment horizontal="left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vertical="top" wrapText="1"/>
    </xf>
    <xf numFmtId="190" fontId="1" fillId="5" borderId="5" xfId="18" applyNumberFormat="1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vertical="top" wrapText="1"/>
    </xf>
    <xf numFmtId="200" fontId="0" fillId="6" borderId="4" xfId="15" applyNumberFormat="1" applyFont="1" applyFill="1" applyBorder="1" applyAlignment="1" applyProtection="1">
      <alignment/>
      <protection locked="0"/>
    </xf>
    <xf numFmtId="200" fontId="0" fillId="6" borderId="4" xfId="15" applyNumberFormat="1" applyFont="1" applyFill="1" applyBorder="1" applyAlignment="1" applyProtection="1">
      <alignment horizontal="right"/>
      <protection locked="0"/>
    </xf>
    <xf numFmtId="200" fontId="0" fillId="6" borderId="4" xfId="15" applyNumberFormat="1" applyFill="1" applyBorder="1" applyAlignment="1">
      <alignment vertical="top" wrapText="1"/>
    </xf>
    <xf numFmtId="200" fontId="1" fillId="5" borderId="0" xfId="15" applyNumberFormat="1" applyFont="1" applyFill="1" applyBorder="1" applyAlignment="1">
      <alignment horizontal="right" vertical="top" wrapText="1"/>
    </xf>
    <xf numFmtId="200" fontId="1" fillId="6" borderId="4" xfId="15" applyNumberFormat="1" applyFont="1" applyFill="1" applyBorder="1" applyAlignment="1">
      <alignment horizontal="center" vertical="top" wrapText="1"/>
    </xf>
    <xf numFmtId="200" fontId="2" fillId="5" borderId="0" xfId="15" applyNumberFormat="1" applyFont="1" applyFill="1" applyBorder="1" applyAlignment="1">
      <alignment horizontal="right" vertical="top" wrapText="1"/>
    </xf>
    <xf numFmtId="190" fontId="2" fillId="5" borderId="0" xfId="18" applyNumberFormat="1" applyFont="1" applyFill="1" applyBorder="1" applyAlignment="1">
      <alignment horizontal="right" vertical="top" wrapText="1"/>
    </xf>
    <xf numFmtId="190" fontId="1" fillId="6" borderId="4" xfId="18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25" fillId="5" borderId="1" xfId="0" applyFont="1" applyFill="1" applyBorder="1" applyAlignment="1">
      <alignment/>
    </xf>
    <xf numFmtId="0" fontId="0" fillId="0" borderId="3" xfId="0" applyBorder="1" applyAlignment="1">
      <alignment horizontal="center" vertical="center" textRotation="90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370"/>
  <sheetViews>
    <sheetView view="pageBreakPreview" zoomScale="60" zoomScaleNormal="75" workbookViewId="0" topLeftCell="A40">
      <selection activeCell="G87" sqref="G87"/>
    </sheetView>
  </sheetViews>
  <sheetFormatPr defaultColWidth="11.421875" defaultRowHeight="12.75"/>
  <cols>
    <col min="1" max="1" width="11.421875" style="7" customWidth="1"/>
    <col min="2" max="2" width="11.140625" style="7" bestFit="1" customWidth="1"/>
    <col min="3" max="3" width="13.7109375" style="7" customWidth="1"/>
    <col min="4" max="4" width="7.7109375" style="7" customWidth="1"/>
    <col min="5" max="5" width="30.00390625" style="8" hidden="1" customWidth="1"/>
    <col min="6" max="6" width="18.28125" style="7" bestFit="1" customWidth="1"/>
    <col min="7" max="7" width="113.00390625" style="7" bestFit="1" customWidth="1"/>
    <col min="8" max="8" width="19.00390625" style="5" customWidth="1"/>
    <col min="9" max="9" width="9.7109375" style="9" hidden="1" customWidth="1"/>
    <col min="10" max="10" width="25.8515625" style="9" hidden="1" customWidth="1"/>
    <col min="11" max="11" width="31.28125" style="6" bestFit="1" customWidth="1"/>
    <col min="12" max="12" width="54.8515625" style="6" bestFit="1" customWidth="1"/>
    <col min="13" max="13" width="39.421875" style="7" bestFit="1" customWidth="1"/>
    <col min="14" max="14" width="27.00390625" style="7" bestFit="1" customWidth="1"/>
    <col min="15" max="15" width="16.28125" style="7" bestFit="1" customWidth="1"/>
    <col min="16" max="16" width="15.421875" style="8" customWidth="1"/>
    <col min="17" max="17" width="17.00390625" style="7" bestFit="1" customWidth="1"/>
    <col min="18" max="18" width="15.57421875" style="7" bestFit="1" customWidth="1"/>
    <col min="19" max="19" width="22.28125" style="7" bestFit="1" customWidth="1"/>
    <col min="20" max="21" width="22.00390625" style="8" bestFit="1" customWidth="1"/>
    <col min="22" max="22" width="22.28125" style="8" bestFit="1" customWidth="1"/>
    <col min="23" max="23" width="22.57421875" style="173" bestFit="1" customWidth="1"/>
    <col min="24" max="24" width="22.00390625" style="173" bestFit="1" customWidth="1"/>
    <col min="25" max="26" width="21.8515625" style="8" bestFit="1" customWidth="1"/>
    <col min="27" max="27" width="12.57421875" style="7" bestFit="1" customWidth="1"/>
    <col min="28" max="28" width="10.140625" style="7" bestFit="1" customWidth="1"/>
    <col min="29" max="29" width="10.8515625" style="7" bestFit="1" customWidth="1"/>
    <col min="30" max="30" width="7.7109375" style="7" bestFit="1" customWidth="1"/>
    <col min="31" max="31" width="28.421875" style="8" bestFit="1" customWidth="1"/>
    <col min="32" max="32" width="68.28125" style="7" bestFit="1" customWidth="1"/>
    <col min="33" max="33" width="11.421875" style="8" bestFit="1" customWidth="1"/>
    <col min="34" max="34" width="25.140625" style="8" bestFit="1" customWidth="1"/>
    <col min="35" max="35" width="18.7109375" style="8" bestFit="1" customWidth="1"/>
    <col min="36" max="36" width="15.00390625" style="8" bestFit="1" customWidth="1"/>
    <col min="37" max="37" width="9.00390625" style="8" bestFit="1" customWidth="1"/>
    <col min="38" max="38" width="16.57421875" style="8" bestFit="1" customWidth="1"/>
    <col min="39" max="39" width="25.421875" style="7" bestFit="1" customWidth="1"/>
    <col min="40" max="40" width="26.28125" style="7" bestFit="1" customWidth="1"/>
    <col min="41" max="41" width="29.8515625" style="8" bestFit="1" customWidth="1"/>
    <col min="42" max="42" width="39.8515625" style="8" bestFit="1" customWidth="1"/>
    <col min="43" max="43" width="25.8515625" style="8" bestFit="1" customWidth="1"/>
    <col min="44" max="44" width="38.7109375" style="8" bestFit="1" customWidth="1"/>
    <col min="45" max="113" width="15.421875" style="7" customWidth="1"/>
    <col min="114" max="114" width="17.57421875" style="7" bestFit="1" customWidth="1"/>
    <col min="115" max="16384" width="15.421875" style="7" customWidth="1"/>
  </cols>
  <sheetData>
    <row r="1" spans="1:114" s="11" customFormat="1" ht="90.75" thickBot="1">
      <c r="A1" s="11" t="s">
        <v>553</v>
      </c>
      <c r="B1" s="15" t="s">
        <v>62</v>
      </c>
      <c r="C1" s="15" t="s">
        <v>260</v>
      </c>
      <c r="D1" s="15" t="s">
        <v>190</v>
      </c>
      <c r="E1" s="15" t="s">
        <v>153</v>
      </c>
      <c r="F1" s="16" t="s">
        <v>7</v>
      </c>
      <c r="G1" s="16" t="s">
        <v>139</v>
      </c>
      <c r="H1" s="17" t="s">
        <v>23</v>
      </c>
      <c r="I1" s="17"/>
      <c r="J1" s="17" t="s">
        <v>196</v>
      </c>
      <c r="K1" s="17" t="s">
        <v>197</v>
      </c>
      <c r="L1" s="17" t="s">
        <v>198</v>
      </c>
      <c r="M1" s="18" t="s">
        <v>80</v>
      </c>
      <c r="N1" s="18" t="s">
        <v>199</v>
      </c>
      <c r="O1" s="18" t="s">
        <v>200</v>
      </c>
      <c r="P1" s="18" t="s">
        <v>210</v>
      </c>
      <c r="Q1" s="18" t="s">
        <v>211</v>
      </c>
      <c r="R1" s="18" t="s">
        <v>212</v>
      </c>
      <c r="S1" s="18" t="s">
        <v>243</v>
      </c>
      <c r="T1" s="18" t="s">
        <v>231</v>
      </c>
      <c r="U1" s="18" t="s">
        <v>232</v>
      </c>
      <c r="V1" s="18" t="s">
        <v>233</v>
      </c>
      <c r="W1" s="153" t="s">
        <v>239</v>
      </c>
      <c r="X1" s="153" t="s">
        <v>333</v>
      </c>
      <c r="Y1" s="18" t="s">
        <v>353</v>
      </c>
      <c r="Z1" s="18" t="s">
        <v>376</v>
      </c>
      <c r="AA1" s="10" t="s">
        <v>8</v>
      </c>
      <c r="AB1" s="10" t="s">
        <v>9</v>
      </c>
      <c r="AC1" s="10" t="s">
        <v>378</v>
      </c>
      <c r="AD1" s="10" t="s">
        <v>379</v>
      </c>
      <c r="AE1" s="12" t="s">
        <v>10</v>
      </c>
      <c r="AF1" s="12" t="s">
        <v>111</v>
      </c>
      <c r="AG1" s="12" t="s">
        <v>213</v>
      </c>
      <c r="AH1" s="12" t="s">
        <v>194</v>
      </c>
      <c r="AI1" s="12" t="s">
        <v>195</v>
      </c>
      <c r="AJ1" s="12" t="s">
        <v>377</v>
      </c>
      <c r="AK1" s="12" t="s">
        <v>115</v>
      </c>
      <c r="AL1" s="12" t="s">
        <v>116</v>
      </c>
      <c r="AM1" s="12" t="s">
        <v>81</v>
      </c>
      <c r="AN1" s="12" t="s">
        <v>110</v>
      </c>
      <c r="AO1" s="12" t="s">
        <v>112</v>
      </c>
      <c r="AP1" s="12" t="s">
        <v>113</v>
      </c>
      <c r="AQ1" s="12" t="s">
        <v>117</v>
      </c>
      <c r="AR1" s="12" t="s">
        <v>83</v>
      </c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DJ1" s="12" t="s">
        <v>244</v>
      </c>
    </row>
    <row r="2" spans="1:56" s="283" customFormat="1" ht="54">
      <c r="A2" s="283">
        <v>3</v>
      </c>
      <c r="B2" s="38"/>
      <c r="C2" s="31">
        <v>2011</v>
      </c>
      <c r="D2" s="31">
        <v>2013</v>
      </c>
      <c r="E2" s="248" t="s">
        <v>151</v>
      </c>
      <c r="F2" s="249" t="s">
        <v>90</v>
      </c>
      <c r="G2" s="252" t="s">
        <v>389</v>
      </c>
      <c r="H2" s="235"/>
      <c r="I2" s="257"/>
      <c r="J2" s="180" t="s">
        <v>216</v>
      </c>
      <c r="K2" s="266" t="s">
        <v>508</v>
      </c>
      <c r="L2" s="45" t="s">
        <v>204</v>
      </c>
      <c r="M2" s="261" t="s">
        <v>391</v>
      </c>
      <c r="N2" s="270" t="s">
        <v>392</v>
      </c>
      <c r="O2" s="271" t="s">
        <v>393</v>
      </c>
      <c r="P2" s="248" t="s">
        <v>185</v>
      </c>
      <c r="Q2" s="271">
        <f>138114+45400</f>
        <v>183514</v>
      </c>
      <c r="R2" s="274">
        <f>75990+45400</f>
        <v>121390</v>
      </c>
      <c r="S2" s="275"/>
      <c r="T2" s="276"/>
      <c r="U2" s="271"/>
      <c r="V2" s="255"/>
      <c r="W2" s="277"/>
      <c r="X2" s="279">
        <v>75990</v>
      </c>
      <c r="Y2" s="248">
        <v>37780</v>
      </c>
      <c r="Z2" s="248"/>
      <c r="AA2" s="282">
        <v>75990</v>
      </c>
      <c r="AB2" s="255"/>
      <c r="AC2" s="255"/>
      <c r="AD2" s="255"/>
      <c r="AE2" s="248" t="s">
        <v>504</v>
      </c>
      <c r="AF2" s="255"/>
      <c r="AG2" s="248"/>
      <c r="AH2" s="248"/>
      <c r="AI2" s="248"/>
      <c r="AJ2" s="248"/>
      <c r="AK2" s="248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</row>
    <row r="3" spans="1:44" s="29" customFormat="1" ht="54">
      <c r="A3" s="29">
        <v>4</v>
      </c>
      <c r="B3" s="30">
        <v>32</v>
      </c>
      <c r="C3" s="31">
        <v>2007</v>
      </c>
      <c r="D3" s="31">
        <v>2009</v>
      </c>
      <c r="E3" s="31" t="s">
        <v>151</v>
      </c>
      <c r="F3" s="30" t="s">
        <v>134</v>
      </c>
      <c r="G3" s="32" t="s">
        <v>501</v>
      </c>
      <c r="H3" s="236"/>
      <c r="I3" s="78"/>
      <c r="J3" s="191" t="s">
        <v>237</v>
      </c>
      <c r="K3" s="192" t="s">
        <v>509</v>
      </c>
      <c r="L3" s="76" t="s">
        <v>216</v>
      </c>
      <c r="M3" s="178"/>
      <c r="N3" s="269" t="s">
        <v>277</v>
      </c>
      <c r="O3" s="118" t="s">
        <v>490</v>
      </c>
      <c r="P3" s="118" t="s">
        <v>332</v>
      </c>
      <c r="Q3" s="43">
        <f>67660+87636+30000+74679</f>
        <v>259975</v>
      </c>
      <c r="R3" s="43">
        <f>4000+42443+8897+13345+15000+35000</f>
        <v>118685</v>
      </c>
      <c r="S3" s="40"/>
      <c r="T3" s="43">
        <v>40000</v>
      </c>
      <c r="U3" s="43">
        <f>42443+8897+13345</f>
        <v>64685</v>
      </c>
      <c r="V3" s="43">
        <v>15000</v>
      </c>
      <c r="W3" s="155">
        <v>35000</v>
      </c>
      <c r="X3" s="155"/>
      <c r="Y3" s="43"/>
      <c r="Z3" s="43"/>
      <c r="AA3" s="223">
        <f>40000+42443+15000+W3</f>
        <v>132443</v>
      </c>
      <c r="AB3" s="40" t="s">
        <v>163</v>
      </c>
      <c r="AC3" s="40"/>
      <c r="AD3" s="40"/>
      <c r="AE3" s="38" t="s">
        <v>165</v>
      </c>
      <c r="AF3" s="40" t="s">
        <v>119</v>
      </c>
      <c r="AG3" s="36"/>
      <c r="AH3" s="38"/>
      <c r="AI3" s="36">
        <v>8897</v>
      </c>
      <c r="AJ3" s="36"/>
      <c r="AK3" s="36">
        <v>13345</v>
      </c>
      <c r="AL3" s="36"/>
      <c r="AN3" s="40"/>
      <c r="AO3" s="80">
        <f>255000*1.1</f>
        <v>280500</v>
      </c>
      <c r="AP3" s="80">
        <f>40000*1.1</f>
        <v>44000</v>
      </c>
      <c r="AQ3" s="36"/>
      <c r="AR3" s="36"/>
    </row>
    <row r="4" spans="1:114" s="29" customFormat="1" ht="36">
      <c r="A4" s="29">
        <v>12</v>
      </c>
      <c r="B4" s="30">
        <v>3</v>
      </c>
      <c r="C4" s="31">
        <v>2003</v>
      </c>
      <c r="D4" s="31">
        <v>2011</v>
      </c>
      <c r="E4" s="31" t="s">
        <v>151</v>
      </c>
      <c r="F4" s="30" t="s">
        <v>16</v>
      </c>
      <c r="G4" s="42" t="s">
        <v>37</v>
      </c>
      <c r="H4" s="236"/>
      <c r="I4" s="259"/>
      <c r="J4" s="191" t="s">
        <v>254</v>
      </c>
      <c r="K4" s="192" t="s">
        <v>511</v>
      </c>
      <c r="L4" s="45" t="s">
        <v>258</v>
      </c>
      <c r="M4" s="178" t="s">
        <v>27</v>
      </c>
      <c r="N4" s="187" t="s">
        <v>256</v>
      </c>
      <c r="O4" s="31" t="s">
        <v>259</v>
      </c>
      <c r="P4" s="45" t="s">
        <v>185</v>
      </c>
      <c r="Q4" s="45">
        <f>20000+9700</f>
        <v>29700</v>
      </c>
      <c r="R4" s="45">
        <f>11960+9700</f>
        <v>21660</v>
      </c>
      <c r="S4" s="40"/>
      <c r="T4" s="43">
        <v>11960</v>
      </c>
      <c r="U4" s="43">
        <v>9700</v>
      </c>
      <c r="V4" s="43"/>
      <c r="W4" s="155"/>
      <c r="X4" s="155"/>
      <c r="Y4" s="43"/>
      <c r="Z4" s="43"/>
      <c r="AA4" s="45">
        <v>11960</v>
      </c>
      <c r="AB4" s="40"/>
      <c r="AC4" s="40"/>
      <c r="AD4" s="40"/>
      <c r="AE4" s="38"/>
      <c r="AG4" s="36"/>
      <c r="AH4" s="36"/>
      <c r="AI4" s="36"/>
      <c r="AJ4" s="36"/>
      <c r="AK4" s="36"/>
      <c r="AL4" s="36"/>
      <c r="AN4" s="38"/>
      <c r="AO4" s="44"/>
      <c r="AP4" s="44"/>
      <c r="AQ4" s="45"/>
      <c r="AR4" s="36"/>
      <c r="DJ4" s="29" t="s">
        <v>273</v>
      </c>
    </row>
    <row r="5" spans="1:44" s="29" customFormat="1" ht="36">
      <c r="A5" s="29">
        <v>15</v>
      </c>
      <c r="B5" s="30"/>
      <c r="C5" s="31">
        <v>2011</v>
      </c>
      <c r="D5" s="31">
        <v>2013</v>
      </c>
      <c r="E5" s="31" t="s">
        <v>151</v>
      </c>
      <c r="F5" s="116" t="s">
        <v>325</v>
      </c>
      <c r="G5" s="42" t="s">
        <v>448</v>
      </c>
      <c r="H5" s="237"/>
      <c r="I5" s="75"/>
      <c r="J5" s="191" t="s">
        <v>204</v>
      </c>
      <c r="K5" s="192" t="s">
        <v>533</v>
      </c>
      <c r="L5" s="45"/>
      <c r="M5" s="186" t="s">
        <v>435</v>
      </c>
      <c r="N5" s="187" t="s">
        <v>369</v>
      </c>
      <c r="O5" s="31" t="s">
        <v>245</v>
      </c>
      <c r="P5" s="31"/>
      <c r="Q5" s="31"/>
      <c r="R5" s="55">
        <v>140000</v>
      </c>
      <c r="S5" s="55"/>
      <c r="T5" s="43"/>
      <c r="U5" s="43"/>
      <c r="V5" s="43"/>
      <c r="W5" s="155"/>
      <c r="X5" s="155">
        <v>46600</v>
      </c>
      <c r="Y5" s="43">
        <v>46600</v>
      </c>
      <c r="Z5" s="43">
        <v>46800</v>
      </c>
      <c r="AA5" s="40"/>
      <c r="AB5" s="40"/>
      <c r="AC5" s="40"/>
      <c r="AD5" s="40"/>
      <c r="AE5" s="38"/>
      <c r="AG5" s="36"/>
      <c r="AH5" s="36"/>
      <c r="AI5" s="36"/>
      <c r="AJ5" s="36"/>
      <c r="AK5" s="36"/>
      <c r="AL5" s="36"/>
      <c r="AN5" s="38"/>
      <c r="AO5" s="44"/>
      <c r="AP5" s="44"/>
      <c r="AQ5" s="45"/>
      <c r="AR5" s="36"/>
    </row>
    <row r="6" spans="1:44" s="29" customFormat="1" ht="36">
      <c r="A6" s="29">
        <v>16</v>
      </c>
      <c r="B6" s="30"/>
      <c r="C6" s="31">
        <v>2011</v>
      </c>
      <c r="D6" s="31">
        <v>2013</v>
      </c>
      <c r="E6" s="31" t="s">
        <v>151</v>
      </c>
      <c r="F6" s="116" t="s">
        <v>325</v>
      </c>
      <c r="G6" s="42" t="s">
        <v>449</v>
      </c>
      <c r="H6" s="237"/>
      <c r="I6" s="75"/>
      <c r="J6" s="191" t="s">
        <v>204</v>
      </c>
      <c r="K6" s="192" t="s">
        <v>534</v>
      </c>
      <c r="L6" s="45"/>
      <c r="M6" s="186" t="s">
        <v>435</v>
      </c>
      <c r="N6" s="187" t="s">
        <v>369</v>
      </c>
      <c r="O6" s="31" t="s">
        <v>245</v>
      </c>
      <c r="P6" s="31"/>
      <c r="Q6" s="31"/>
      <c r="R6" s="55">
        <v>130000</v>
      </c>
      <c r="S6" s="55"/>
      <c r="T6" s="43"/>
      <c r="U6" s="43"/>
      <c r="V6" s="43"/>
      <c r="W6" s="155"/>
      <c r="X6" s="155">
        <f>70000+20000</f>
        <v>90000</v>
      </c>
      <c r="Y6" s="43">
        <v>20000</v>
      </c>
      <c r="Z6" s="43">
        <v>20000</v>
      </c>
      <c r="AA6" s="40"/>
      <c r="AB6" s="40"/>
      <c r="AC6" s="40"/>
      <c r="AD6" s="40"/>
      <c r="AE6" s="38"/>
      <c r="AG6" s="36"/>
      <c r="AH6" s="36"/>
      <c r="AI6" s="36"/>
      <c r="AJ6" s="36"/>
      <c r="AK6" s="36"/>
      <c r="AL6" s="36"/>
      <c r="AN6" s="38"/>
      <c r="AO6" s="44"/>
      <c r="AP6" s="44"/>
      <c r="AQ6" s="45"/>
      <c r="AR6" s="36"/>
    </row>
    <row r="7" spans="1:44" s="29" customFormat="1" ht="23.25">
      <c r="A7" s="29">
        <v>24</v>
      </c>
      <c r="B7" s="30">
        <v>37</v>
      </c>
      <c r="C7" s="31">
        <v>2007</v>
      </c>
      <c r="D7" s="31">
        <v>2013</v>
      </c>
      <c r="E7" s="31" t="s">
        <v>151</v>
      </c>
      <c r="F7" s="30" t="s">
        <v>14</v>
      </c>
      <c r="G7" s="32" t="s">
        <v>311</v>
      </c>
      <c r="H7" s="238"/>
      <c r="I7" s="78"/>
      <c r="J7" s="191" t="s">
        <v>216</v>
      </c>
      <c r="K7" s="192" t="s">
        <v>512</v>
      </c>
      <c r="L7" s="45" t="s">
        <v>275</v>
      </c>
      <c r="M7" s="178" t="s">
        <v>30</v>
      </c>
      <c r="N7" s="187" t="s">
        <v>276</v>
      </c>
      <c r="O7" s="31">
        <v>2</v>
      </c>
      <c r="P7" s="31" t="s">
        <v>185</v>
      </c>
      <c r="Q7" s="31">
        <f>20434+135582+215627+225714</f>
        <v>597357</v>
      </c>
      <c r="R7" s="119">
        <f>(10217/1.196)+(67731/1.196)+92102+90403</f>
        <v>247678.91304347827</v>
      </c>
      <c r="S7" s="40"/>
      <c r="T7" s="119">
        <f>10217/1.196</f>
        <v>8542.642140468228</v>
      </c>
      <c r="U7" s="35"/>
      <c r="V7" s="35">
        <f>67731/1.196</f>
        <v>56631.27090301004</v>
      </c>
      <c r="W7" s="158">
        <v>92102</v>
      </c>
      <c r="X7" s="158">
        <v>90403</v>
      </c>
      <c r="Y7" s="35"/>
      <c r="Z7" s="35"/>
      <c r="AA7" s="120">
        <f>T7+V7+W7+X7</f>
        <v>247678.91304347827</v>
      </c>
      <c r="AB7" s="40"/>
      <c r="AC7" s="40"/>
      <c r="AD7" s="40"/>
      <c r="AE7" s="41"/>
      <c r="AG7" s="36"/>
      <c r="AH7" s="36"/>
      <c r="AI7" s="36"/>
      <c r="AJ7" s="36"/>
      <c r="AK7" s="36"/>
      <c r="AL7" s="36"/>
      <c r="AO7" s="36"/>
      <c r="AP7" s="36"/>
      <c r="AQ7" s="36"/>
      <c r="AR7" s="36"/>
    </row>
    <row r="8" spans="1:44" s="29" customFormat="1" ht="54">
      <c r="A8" s="29">
        <v>26</v>
      </c>
      <c r="C8" s="36">
        <v>2010</v>
      </c>
      <c r="D8" s="36">
        <v>2011</v>
      </c>
      <c r="E8" s="45" t="s">
        <v>151</v>
      </c>
      <c r="F8" s="30" t="s">
        <v>344</v>
      </c>
      <c r="G8" s="32" t="s">
        <v>345</v>
      </c>
      <c r="H8" s="238"/>
      <c r="I8" s="78"/>
      <c r="J8" s="45" t="s">
        <v>261</v>
      </c>
      <c r="K8" s="192" t="s">
        <v>514</v>
      </c>
      <c r="L8" s="45"/>
      <c r="M8" s="178" t="s">
        <v>484</v>
      </c>
      <c r="N8" s="180"/>
      <c r="O8" s="36" t="s">
        <v>491</v>
      </c>
      <c r="P8" s="36" t="s">
        <v>185</v>
      </c>
      <c r="Q8" s="35">
        <f>129829+84002</f>
        <v>213831</v>
      </c>
      <c r="R8" s="35">
        <f>48000+43132</f>
        <v>91132</v>
      </c>
      <c r="S8" s="35"/>
      <c r="U8" s="35"/>
      <c r="V8" s="35"/>
      <c r="W8" s="158">
        <f>R8</f>
        <v>91132</v>
      </c>
      <c r="X8" s="158">
        <v>43132</v>
      </c>
      <c r="Y8" s="35"/>
      <c r="Z8" s="35"/>
      <c r="AA8" s="125">
        <f>W8+X8</f>
        <v>134264</v>
      </c>
      <c r="AB8" s="40"/>
      <c r="AC8" s="40"/>
      <c r="AD8" s="40"/>
      <c r="AE8" s="41"/>
      <c r="AG8" s="36"/>
      <c r="AI8" s="36"/>
      <c r="AJ8" s="36"/>
      <c r="AK8" s="36"/>
      <c r="AL8" s="36"/>
      <c r="AO8" s="36"/>
      <c r="AP8" s="36"/>
      <c r="AQ8" s="36"/>
      <c r="AR8" s="36"/>
    </row>
    <row r="9" spans="1:44" s="29" customFormat="1" ht="30">
      <c r="A9" s="29">
        <v>27</v>
      </c>
      <c r="E9" s="45" t="s">
        <v>151</v>
      </c>
      <c r="F9" s="116" t="s">
        <v>325</v>
      </c>
      <c r="G9" s="32" t="s">
        <v>287</v>
      </c>
      <c r="H9" s="238"/>
      <c r="I9" s="257"/>
      <c r="J9" s="29" t="s">
        <v>263</v>
      </c>
      <c r="K9" s="192" t="s">
        <v>75</v>
      </c>
      <c r="L9" s="191" t="s">
        <v>303</v>
      </c>
      <c r="M9" s="182"/>
      <c r="N9" s="179"/>
      <c r="O9" s="104" t="s">
        <v>489</v>
      </c>
      <c r="P9" s="36" t="s">
        <v>185</v>
      </c>
      <c r="Q9" s="103"/>
      <c r="S9" s="105">
        <v>5000</v>
      </c>
      <c r="T9" s="105">
        <v>15000</v>
      </c>
      <c r="U9" s="106">
        <v>10000</v>
      </c>
      <c r="V9" s="106">
        <v>15000</v>
      </c>
      <c r="W9" s="160">
        <v>20000</v>
      </c>
      <c r="X9" s="161"/>
      <c r="AB9" s="40"/>
      <c r="AC9" s="40"/>
      <c r="AD9" s="40"/>
      <c r="AE9" s="41"/>
      <c r="AG9" s="36"/>
      <c r="AH9" s="36"/>
      <c r="AI9" s="36"/>
      <c r="AJ9" s="36"/>
      <c r="AK9" s="36"/>
      <c r="AL9" s="36"/>
      <c r="AO9" s="36"/>
      <c r="AP9" s="36"/>
      <c r="AQ9" s="36"/>
      <c r="AR9" s="36"/>
    </row>
    <row r="10" spans="1:44" s="29" customFormat="1" ht="47.25">
      <c r="A10" s="29">
        <v>31</v>
      </c>
      <c r="C10" s="29">
        <v>2010</v>
      </c>
      <c r="D10" s="29">
        <v>2012</v>
      </c>
      <c r="E10" s="45" t="s">
        <v>151</v>
      </c>
      <c r="F10" s="116" t="s">
        <v>324</v>
      </c>
      <c r="G10" s="40" t="s">
        <v>485</v>
      </c>
      <c r="H10" s="238"/>
      <c r="I10" s="257"/>
      <c r="J10" s="45" t="s">
        <v>263</v>
      </c>
      <c r="K10" s="192" t="s">
        <v>535</v>
      </c>
      <c r="L10" s="29" t="s">
        <v>460</v>
      </c>
      <c r="M10" s="178" t="s">
        <v>397</v>
      </c>
      <c r="N10" s="180" t="s">
        <v>488</v>
      </c>
      <c r="O10" s="150" t="s">
        <v>489</v>
      </c>
      <c r="P10" s="36"/>
      <c r="Q10" s="103"/>
      <c r="T10" s="105"/>
      <c r="U10" s="107"/>
      <c r="W10" s="161">
        <v>20000</v>
      </c>
      <c r="X10" s="161"/>
      <c r="AB10" s="40"/>
      <c r="AC10" s="40"/>
      <c r="AD10" s="40"/>
      <c r="AE10" s="41"/>
      <c r="AG10" s="36"/>
      <c r="AH10" s="36"/>
      <c r="AI10" s="36"/>
      <c r="AJ10" s="36"/>
      <c r="AK10" s="36"/>
      <c r="AL10" s="36"/>
      <c r="AO10" s="36"/>
      <c r="AP10" s="36"/>
      <c r="AQ10" s="36"/>
      <c r="AR10" s="36"/>
    </row>
    <row r="11" spans="1:44" s="29" customFormat="1" ht="60">
      <c r="A11" s="29">
        <v>33</v>
      </c>
      <c r="C11" s="150">
        <v>2010</v>
      </c>
      <c r="D11" s="150">
        <v>2012</v>
      </c>
      <c r="E11" s="31" t="s">
        <v>151</v>
      </c>
      <c r="F11" s="151" t="s">
        <v>324</v>
      </c>
      <c r="G11" s="42" t="s">
        <v>464</v>
      </c>
      <c r="H11" s="238"/>
      <c r="I11" s="257"/>
      <c r="J11" s="178" t="s">
        <v>263</v>
      </c>
      <c r="K11" s="192" t="s">
        <v>536</v>
      </c>
      <c r="L11" s="45" t="s">
        <v>465</v>
      </c>
      <c r="M11" s="187" t="s">
        <v>397</v>
      </c>
      <c r="N11" s="181" t="s">
        <v>466</v>
      </c>
      <c r="O11" s="150" t="s">
        <v>489</v>
      </c>
      <c r="P11" s="36"/>
      <c r="Q11" s="103"/>
      <c r="T11" s="105"/>
      <c r="U11" s="107"/>
      <c r="W11" s="161">
        <v>27000</v>
      </c>
      <c r="X11" s="161"/>
      <c r="AB11" s="40"/>
      <c r="AC11" s="40"/>
      <c r="AD11" s="40"/>
      <c r="AE11" s="41"/>
      <c r="AG11" s="36"/>
      <c r="AH11" s="36"/>
      <c r="AI11" s="36"/>
      <c r="AJ11" s="36"/>
      <c r="AK11" s="36"/>
      <c r="AL11" s="36"/>
      <c r="AO11" s="36"/>
      <c r="AP11" s="36"/>
      <c r="AQ11" s="36"/>
      <c r="AR11" s="36"/>
    </row>
    <row r="12" spans="1:44" s="29" customFormat="1" ht="36">
      <c r="A12" s="29">
        <v>34</v>
      </c>
      <c r="C12" s="150">
        <v>2008</v>
      </c>
      <c r="D12" s="150">
        <v>2011</v>
      </c>
      <c r="E12" s="31" t="s">
        <v>151</v>
      </c>
      <c r="F12" s="151" t="s">
        <v>324</v>
      </c>
      <c r="G12" s="42" t="s">
        <v>467</v>
      </c>
      <c r="H12" s="238"/>
      <c r="I12" s="257"/>
      <c r="J12" s="178" t="s">
        <v>263</v>
      </c>
      <c r="K12" s="192" t="s">
        <v>537</v>
      </c>
      <c r="L12" s="45" t="s">
        <v>468</v>
      </c>
      <c r="M12" s="187" t="s">
        <v>454</v>
      </c>
      <c r="N12" s="181" t="s">
        <v>466</v>
      </c>
      <c r="O12" s="150" t="s">
        <v>489</v>
      </c>
      <c r="P12" s="36"/>
      <c r="Q12" s="103"/>
      <c r="T12" s="105"/>
      <c r="U12" s="107"/>
      <c r="W12" s="161">
        <v>156000</v>
      </c>
      <c r="X12" s="161"/>
      <c r="AB12" s="40"/>
      <c r="AC12" s="40"/>
      <c r="AD12" s="40"/>
      <c r="AE12" s="41"/>
      <c r="AG12" s="36"/>
      <c r="AH12" s="36"/>
      <c r="AI12" s="36"/>
      <c r="AJ12" s="36"/>
      <c r="AK12" s="36"/>
      <c r="AL12" s="36"/>
      <c r="AO12" s="36"/>
      <c r="AP12" s="36"/>
      <c r="AQ12" s="36"/>
      <c r="AR12" s="36"/>
    </row>
    <row r="13" spans="1:44" s="23" customFormat="1" ht="30">
      <c r="A13" s="23">
        <v>36</v>
      </c>
      <c r="E13" s="53" t="s">
        <v>151</v>
      </c>
      <c r="F13" s="117" t="s">
        <v>325</v>
      </c>
      <c r="G13" s="20" t="s">
        <v>291</v>
      </c>
      <c r="H13" s="238"/>
      <c r="I13" s="258"/>
      <c r="J13" s="177" t="s">
        <v>263</v>
      </c>
      <c r="L13" s="195" t="s">
        <v>303</v>
      </c>
      <c r="M13" s="188"/>
      <c r="N13" s="227" t="s">
        <v>286</v>
      </c>
      <c r="O13" s="113" t="s">
        <v>316</v>
      </c>
      <c r="P13" s="50"/>
      <c r="Q13" s="112"/>
      <c r="T13" s="229">
        <v>40000</v>
      </c>
      <c r="U13" s="230">
        <v>40000</v>
      </c>
      <c r="W13" s="168"/>
      <c r="X13" s="168"/>
      <c r="AB13" s="27"/>
      <c r="AC13" s="27"/>
      <c r="AD13" s="27"/>
      <c r="AE13" s="69"/>
      <c r="AG13" s="50"/>
      <c r="AH13" s="50"/>
      <c r="AI13" s="50"/>
      <c r="AJ13" s="50"/>
      <c r="AK13" s="50"/>
      <c r="AL13" s="50"/>
      <c r="AO13" s="50"/>
      <c r="AP13" s="50"/>
      <c r="AQ13" s="50"/>
      <c r="AR13" s="50"/>
    </row>
    <row r="14" spans="1:57" s="1" customFormat="1" ht="30">
      <c r="A14" s="1">
        <v>42</v>
      </c>
      <c r="B14" s="38"/>
      <c r="C14" s="29"/>
      <c r="D14" s="29"/>
      <c r="E14" s="36" t="s">
        <v>151</v>
      </c>
      <c r="F14" s="116" t="s">
        <v>325</v>
      </c>
      <c r="G14" s="32" t="s">
        <v>351</v>
      </c>
      <c r="H14" s="238"/>
      <c r="I14" s="255"/>
      <c r="J14" s="263" t="s">
        <v>348</v>
      </c>
      <c r="K14" s="192" t="s">
        <v>538</v>
      </c>
      <c r="L14" s="191"/>
      <c r="M14" s="182" t="s">
        <v>354</v>
      </c>
      <c r="N14" s="180" t="s">
        <v>349</v>
      </c>
      <c r="O14" s="36">
        <v>2</v>
      </c>
      <c r="P14" s="104" t="s">
        <v>185</v>
      </c>
      <c r="Q14" s="108"/>
      <c r="R14" s="107">
        <v>97000</v>
      </c>
      <c r="S14" s="103"/>
      <c r="T14" s="103"/>
      <c r="U14" s="36"/>
      <c r="V14" s="103">
        <f>R14/4</f>
        <v>24250</v>
      </c>
      <c r="W14" s="162">
        <f>V14</f>
        <v>24250</v>
      </c>
      <c r="X14" s="162">
        <f>W14</f>
        <v>24250</v>
      </c>
      <c r="Y14" s="103">
        <f>W14</f>
        <v>24250</v>
      </c>
      <c r="Z14" s="103"/>
      <c r="AA14" s="36"/>
      <c r="AB14" s="36"/>
      <c r="AC14" s="36"/>
      <c r="AD14" s="36"/>
      <c r="AE14" s="36" t="s">
        <v>355</v>
      </c>
      <c r="AF14" s="36"/>
      <c r="AG14" s="36"/>
      <c r="AH14" s="36"/>
      <c r="AI14" s="29"/>
      <c r="AJ14" s="29"/>
      <c r="AK14" s="29"/>
      <c r="AL14" s="36"/>
      <c r="AM14" s="36"/>
      <c r="AN14" s="36"/>
      <c r="AO14" s="36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1:57" s="1" customFormat="1" ht="36">
      <c r="A15" s="1">
        <v>43</v>
      </c>
      <c r="B15" s="38"/>
      <c r="C15" s="29">
        <v>2009</v>
      </c>
      <c r="D15" s="36">
        <v>2012</v>
      </c>
      <c r="E15" s="36" t="s">
        <v>151</v>
      </c>
      <c r="F15" s="116" t="s">
        <v>325</v>
      </c>
      <c r="G15" s="32" t="s">
        <v>356</v>
      </c>
      <c r="H15" s="238"/>
      <c r="I15" s="255"/>
      <c r="J15" s="263" t="s">
        <v>263</v>
      </c>
      <c r="K15" s="192" t="s">
        <v>539</v>
      </c>
      <c r="L15" s="191" t="s">
        <v>360</v>
      </c>
      <c r="M15" s="182" t="s">
        <v>354</v>
      </c>
      <c r="N15" s="180" t="s">
        <v>361</v>
      </c>
      <c r="O15" s="36">
        <v>2</v>
      </c>
      <c r="P15" s="104" t="s">
        <v>185</v>
      </c>
      <c r="Q15" s="108"/>
      <c r="R15" s="107">
        <f>137000+126000</f>
        <v>263000</v>
      </c>
      <c r="S15" s="103"/>
      <c r="T15" s="103"/>
      <c r="U15" s="36"/>
      <c r="V15" s="103">
        <v>65750</v>
      </c>
      <c r="W15" s="162">
        <f>V15</f>
        <v>65750</v>
      </c>
      <c r="X15" s="162">
        <f>V15</f>
        <v>65750</v>
      </c>
      <c r="Y15" s="103">
        <f>V15</f>
        <v>65750</v>
      </c>
      <c r="Z15" s="103"/>
      <c r="AA15" s="36"/>
      <c r="AB15" s="36"/>
      <c r="AC15" s="36"/>
      <c r="AD15" s="36"/>
      <c r="AE15" s="36" t="s">
        <v>357</v>
      </c>
      <c r="AF15" s="36"/>
      <c r="AG15" s="36"/>
      <c r="AH15" s="36"/>
      <c r="AI15" s="29"/>
      <c r="AJ15" s="29"/>
      <c r="AK15" s="29"/>
      <c r="AL15" s="36"/>
      <c r="AM15" s="36"/>
      <c r="AN15" s="36"/>
      <c r="AO15" s="36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s="1" customFormat="1" ht="36">
      <c r="A16" s="1">
        <v>44</v>
      </c>
      <c r="B16" s="38"/>
      <c r="C16" s="29">
        <v>2009</v>
      </c>
      <c r="D16" s="36">
        <v>2011</v>
      </c>
      <c r="E16" s="36" t="s">
        <v>151</v>
      </c>
      <c r="F16" s="116" t="s">
        <v>419</v>
      </c>
      <c r="G16" s="32" t="s">
        <v>417</v>
      </c>
      <c r="H16" s="239"/>
      <c r="I16" s="255"/>
      <c r="J16" s="263" t="s">
        <v>263</v>
      </c>
      <c r="K16" s="192" t="s">
        <v>540</v>
      </c>
      <c r="L16" s="191" t="s">
        <v>418</v>
      </c>
      <c r="M16" s="182" t="s">
        <v>469</v>
      </c>
      <c r="N16" s="180"/>
      <c r="O16" s="36">
        <v>2</v>
      </c>
      <c r="P16" s="104" t="s">
        <v>185</v>
      </c>
      <c r="Q16" s="105">
        <v>160000</v>
      </c>
      <c r="R16" s="107">
        <f>80000</f>
        <v>80000</v>
      </c>
      <c r="S16" s="103"/>
      <c r="T16" s="103"/>
      <c r="U16" s="36"/>
      <c r="V16" s="103">
        <v>26500</v>
      </c>
      <c r="W16" s="162">
        <v>27000</v>
      </c>
      <c r="X16" s="162">
        <v>26500</v>
      </c>
      <c r="Y16" s="103"/>
      <c r="Z16" s="103"/>
      <c r="AA16" s="36">
        <v>80000</v>
      </c>
      <c r="AB16" s="36"/>
      <c r="AC16" s="36"/>
      <c r="AD16" s="36"/>
      <c r="AE16" s="36"/>
      <c r="AF16" s="36"/>
      <c r="AG16" s="36"/>
      <c r="AH16" s="36"/>
      <c r="AI16" s="29"/>
      <c r="AJ16" s="29"/>
      <c r="AK16" s="29"/>
      <c r="AL16" s="36"/>
      <c r="AM16" s="36"/>
      <c r="AN16" s="36"/>
      <c r="AO16" s="36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57" s="1" customFormat="1" ht="36">
      <c r="A17" s="1">
        <v>45</v>
      </c>
      <c r="B17" s="38"/>
      <c r="C17" s="29">
        <v>2011</v>
      </c>
      <c r="D17" s="36"/>
      <c r="E17" s="36" t="s">
        <v>151</v>
      </c>
      <c r="F17" s="116" t="s">
        <v>419</v>
      </c>
      <c r="G17" s="32" t="s">
        <v>420</v>
      </c>
      <c r="H17" s="129"/>
      <c r="I17" s="255"/>
      <c r="J17" s="263" t="s">
        <v>263</v>
      </c>
      <c r="K17" s="192" t="s">
        <v>540</v>
      </c>
      <c r="L17" s="191"/>
      <c r="M17" s="182">
        <v>2011</v>
      </c>
      <c r="N17" s="180"/>
      <c r="O17" s="36">
        <v>2</v>
      </c>
      <c r="P17" s="104"/>
      <c r="Q17" s="105"/>
      <c r="R17" s="107">
        <v>55000</v>
      </c>
      <c r="S17" s="103"/>
      <c r="T17" s="103"/>
      <c r="U17" s="36"/>
      <c r="V17" s="103"/>
      <c r="W17" s="162"/>
      <c r="X17" s="162">
        <v>55000</v>
      </c>
      <c r="Y17" s="103"/>
      <c r="Z17" s="103"/>
      <c r="AA17" s="36"/>
      <c r="AB17" s="36"/>
      <c r="AC17" s="36"/>
      <c r="AD17" s="36"/>
      <c r="AE17" s="36" t="s">
        <v>422</v>
      </c>
      <c r="AF17" s="36"/>
      <c r="AG17" s="36"/>
      <c r="AH17" s="36"/>
      <c r="AI17" s="29"/>
      <c r="AJ17" s="29"/>
      <c r="AK17" s="29"/>
      <c r="AL17" s="36"/>
      <c r="AM17" s="36"/>
      <c r="AN17" s="36"/>
      <c r="AO17" s="36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</row>
    <row r="18" spans="1:114" s="29" customFormat="1" ht="30">
      <c r="A18" s="29">
        <v>48</v>
      </c>
      <c r="B18" s="30"/>
      <c r="C18" s="29">
        <v>2009</v>
      </c>
      <c r="D18" s="36">
        <v>2011</v>
      </c>
      <c r="E18" s="31" t="s">
        <v>151</v>
      </c>
      <c r="F18" s="30" t="s">
        <v>100</v>
      </c>
      <c r="G18" s="32" t="s">
        <v>246</v>
      </c>
      <c r="H18" s="240"/>
      <c r="I18" s="68"/>
      <c r="J18" s="261" t="s">
        <v>247</v>
      </c>
      <c r="K18" s="192" t="s">
        <v>517</v>
      </c>
      <c r="L18" s="191" t="s">
        <v>248</v>
      </c>
      <c r="M18" s="178" t="s">
        <v>162</v>
      </c>
      <c r="N18" s="178" t="s">
        <v>206</v>
      </c>
      <c r="O18" s="45" t="s">
        <v>249</v>
      </c>
      <c r="P18" s="45" t="s">
        <v>185</v>
      </c>
      <c r="Q18" s="45">
        <v>237126</v>
      </c>
      <c r="R18" s="45">
        <v>179706</v>
      </c>
      <c r="S18" s="40"/>
      <c r="T18" s="43"/>
      <c r="U18" s="103">
        <v>179706</v>
      </c>
      <c r="V18" s="43"/>
      <c r="W18" s="155"/>
      <c r="X18" s="155"/>
      <c r="Y18" s="43"/>
      <c r="Z18" s="43"/>
      <c r="AA18" s="45">
        <v>53912</v>
      </c>
      <c r="AB18" s="40"/>
      <c r="AC18" s="40"/>
      <c r="AD18" s="40"/>
      <c r="AE18" s="36"/>
      <c r="AF18" s="38"/>
      <c r="AG18" s="36"/>
      <c r="AH18" s="36">
        <v>53912</v>
      </c>
      <c r="AI18" s="36">
        <v>35941</v>
      </c>
      <c r="AJ18" s="36"/>
      <c r="AK18" s="36">
        <v>17971</v>
      </c>
      <c r="AL18" s="36"/>
      <c r="AN18" s="38"/>
      <c r="AO18" s="44"/>
      <c r="AP18" s="44"/>
      <c r="AQ18" s="36"/>
      <c r="AR18" s="36"/>
      <c r="BM18" s="37"/>
      <c r="BQ18" s="37"/>
      <c r="DJ18" s="29" t="s">
        <v>307</v>
      </c>
    </row>
    <row r="19" spans="1:114" s="29" customFormat="1" ht="54">
      <c r="A19" s="29">
        <v>53</v>
      </c>
      <c r="B19" s="30" t="s">
        <v>90</v>
      </c>
      <c r="C19" s="31">
        <v>2005</v>
      </c>
      <c r="D19" s="36">
        <v>2013</v>
      </c>
      <c r="E19" s="31" t="s">
        <v>151</v>
      </c>
      <c r="F19" s="30" t="s">
        <v>67</v>
      </c>
      <c r="G19" s="32" t="s">
        <v>11</v>
      </c>
      <c r="H19" s="241"/>
      <c r="I19" s="39"/>
      <c r="J19" s="191" t="s">
        <v>328</v>
      </c>
      <c r="K19" s="192" t="s">
        <v>518</v>
      </c>
      <c r="L19" s="76" t="s">
        <v>329</v>
      </c>
      <c r="M19" s="178" t="s">
        <v>431</v>
      </c>
      <c r="N19" s="178" t="s">
        <v>343</v>
      </c>
      <c r="O19" s="45" t="s">
        <v>489</v>
      </c>
      <c r="P19" s="45" t="s">
        <v>185</v>
      </c>
      <c r="Q19" s="43">
        <f>20080+412560+2079045</f>
        <v>2511685</v>
      </c>
      <c r="R19" s="43">
        <f>20080+391930+1833718</f>
        <v>2245728</v>
      </c>
      <c r="S19" s="43">
        <v>20080</v>
      </c>
      <c r="U19" s="43"/>
      <c r="V19" s="43">
        <f>391932</f>
        <v>391932</v>
      </c>
      <c r="W19" s="155">
        <f>458429.5</f>
        <v>458429.5</v>
      </c>
      <c r="X19" s="155">
        <f>458429.5</f>
        <v>458429.5</v>
      </c>
      <c r="Y19" s="43">
        <f>458429.5</f>
        <v>458429.5</v>
      </c>
      <c r="Z19" s="43">
        <f>458429.5</f>
        <v>458429.5</v>
      </c>
      <c r="AA19" s="45">
        <f>61884+351359</f>
        <v>413243</v>
      </c>
      <c r="AB19" s="40"/>
      <c r="AC19" s="38">
        <f>206280+1039523</f>
        <v>1245803</v>
      </c>
      <c r="AD19" s="38">
        <f>20790</f>
        <v>20790</v>
      </c>
      <c r="AE19" s="38"/>
      <c r="AF19" s="38"/>
      <c r="AG19" s="45"/>
      <c r="AH19" s="45">
        <f>24753+93557</f>
        <v>118310</v>
      </c>
      <c r="AI19" s="41">
        <f>24753+93557</f>
        <v>118310</v>
      </c>
      <c r="AJ19" s="41">
        <f>12376+37423</f>
        <v>49799</v>
      </c>
      <c r="AK19" s="36">
        <f>61884+197509</f>
        <v>259393</v>
      </c>
      <c r="AL19" s="36"/>
      <c r="AM19" s="79"/>
      <c r="AN19" s="38"/>
      <c r="AO19" s="45">
        <v>0</v>
      </c>
      <c r="AP19" s="45">
        <v>0</v>
      </c>
      <c r="AQ19" s="36"/>
      <c r="AR19" s="36"/>
      <c r="BM19" s="37"/>
      <c r="BO19" s="37"/>
      <c r="BP19" s="37"/>
      <c r="BQ19" s="37"/>
      <c r="BS19" s="37"/>
      <c r="BT19" s="37"/>
      <c r="DJ19" s="29" t="s">
        <v>330</v>
      </c>
    </row>
    <row r="20" spans="1:71" s="29" customFormat="1" ht="36">
      <c r="A20" s="29">
        <v>58</v>
      </c>
      <c r="B20" s="30"/>
      <c r="C20" s="46">
        <v>2007</v>
      </c>
      <c r="D20" s="46">
        <v>2010</v>
      </c>
      <c r="E20" s="31" t="s">
        <v>151</v>
      </c>
      <c r="F20" s="30" t="s">
        <v>264</v>
      </c>
      <c r="G20" s="42" t="s">
        <v>507</v>
      </c>
      <c r="H20" s="241"/>
      <c r="I20" s="39"/>
      <c r="J20" s="261" t="s">
        <v>216</v>
      </c>
      <c r="K20" s="192" t="s">
        <v>544</v>
      </c>
      <c r="L20" s="45" t="s">
        <v>278</v>
      </c>
      <c r="M20" s="178"/>
      <c r="N20" s="187" t="s">
        <v>343</v>
      </c>
      <c r="O20" s="31">
        <v>2</v>
      </c>
      <c r="P20" s="31" t="s">
        <v>185</v>
      </c>
      <c r="Q20" s="31">
        <f>92141+41406+147520+113426</f>
        <v>394493</v>
      </c>
      <c r="R20" s="119">
        <f>(24761/1.196)+(46070/1.196)+(73770/1.196)+56660</f>
        <v>177563.84615384616</v>
      </c>
      <c r="S20" s="31"/>
      <c r="T20" s="56">
        <f>24761/1.196</f>
        <v>20703.177257525083</v>
      </c>
      <c r="U20" s="56">
        <f>46070/1.196</f>
        <v>38520.06688963211</v>
      </c>
      <c r="V20" s="56">
        <f>73770/1.196</f>
        <v>61680.60200668897</v>
      </c>
      <c r="W20" s="165">
        <v>56660</v>
      </c>
      <c r="X20" s="165"/>
      <c r="Y20" s="56"/>
      <c r="Z20" s="56"/>
      <c r="AA20" s="35">
        <f>T20+U20+V20+W20</f>
        <v>177563.84615384616</v>
      </c>
      <c r="AB20" s="40"/>
      <c r="AC20" s="40"/>
      <c r="AD20" s="40"/>
      <c r="AE20" s="55"/>
      <c r="AG20" s="36"/>
      <c r="AI20" s="36"/>
      <c r="AJ20" s="36"/>
      <c r="AK20" s="36"/>
      <c r="AL20" s="36"/>
      <c r="AO20" s="38"/>
      <c r="AP20" s="57"/>
      <c r="AQ20" s="45"/>
      <c r="AR20" s="45"/>
      <c r="BS20" s="37"/>
    </row>
    <row r="21" spans="1:56" s="1" customFormat="1" ht="36">
      <c r="A21" s="1">
        <v>61</v>
      </c>
      <c r="B21" s="38"/>
      <c r="C21" s="31">
        <v>2010</v>
      </c>
      <c r="D21" s="29">
        <v>2011</v>
      </c>
      <c r="E21" s="36" t="s">
        <v>151</v>
      </c>
      <c r="F21" s="30" t="s">
        <v>336</v>
      </c>
      <c r="G21" s="32" t="s">
        <v>337</v>
      </c>
      <c r="H21" s="241"/>
      <c r="I21" s="29"/>
      <c r="J21" s="262" t="s">
        <v>263</v>
      </c>
      <c r="K21" s="192" t="s">
        <v>546</v>
      </c>
      <c r="L21" s="45" t="s">
        <v>338</v>
      </c>
      <c r="M21" s="178">
        <v>2010</v>
      </c>
      <c r="N21" s="187" t="s">
        <v>340</v>
      </c>
      <c r="O21" s="31">
        <v>2</v>
      </c>
      <c r="P21" s="36"/>
      <c r="Q21" s="31">
        <v>138504</v>
      </c>
      <c r="R21" s="38">
        <v>60000</v>
      </c>
      <c r="S21" s="109"/>
      <c r="T21" s="110"/>
      <c r="U21" s="31"/>
      <c r="V21" s="29"/>
      <c r="W21" s="165">
        <f>R21</f>
        <v>60000</v>
      </c>
      <c r="X21" s="167"/>
      <c r="Y21" s="36"/>
      <c r="Z21" s="36"/>
      <c r="AA21" s="35">
        <f>W21</f>
        <v>60000</v>
      </c>
      <c r="AB21" s="29"/>
      <c r="AC21" s="29"/>
      <c r="AD21" s="29"/>
      <c r="AE21" s="36"/>
      <c r="AF21" s="29"/>
      <c r="AG21" s="36"/>
      <c r="AH21" s="36"/>
      <c r="AI21" s="36"/>
      <c r="AJ21" s="36"/>
      <c r="AK21" s="36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</row>
    <row r="22" spans="1:56" s="1" customFormat="1" ht="54">
      <c r="A22" s="1">
        <v>62</v>
      </c>
      <c r="B22" s="38"/>
      <c r="C22" s="31">
        <v>2010</v>
      </c>
      <c r="D22" s="29">
        <v>2012</v>
      </c>
      <c r="E22" s="36" t="s">
        <v>151</v>
      </c>
      <c r="F22" s="30" t="s">
        <v>341</v>
      </c>
      <c r="G22" s="32" t="s">
        <v>342</v>
      </c>
      <c r="H22" s="241"/>
      <c r="I22" s="29"/>
      <c r="J22" s="262" t="s">
        <v>223</v>
      </c>
      <c r="K22" s="192" t="s">
        <v>547</v>
      </c>
      <c r="L22" s="45" t="s">
        <v>204</v>
      </c>
      <c r="M22" s="178" t="s">
        <v>495</v>
      </c>
      <c r="N22" s="187" t="s">
        <v>343</v>
      </c>
      <c r="O22" s="31">
        <v>3</v>
      </c>
      <c r="P22" s="36"/>
      <c r="Q22" s="31">
        <f>74820+143780</f>
        <v>218600</v>
      </c>
      <c r="R22" s="38">
        <f>16980+71000</f>
        <v>87980</v>
      </c>
      <c r="S22" s="109"/>
      <c r="T22" s="110"/>
      <c r="U22" s="31"/>
      <c r="V22" s="29"/>
      <c r="W22" s="165">
        <f>R22</f>
        <v>87980</v>
      </c>
      <c r="X22" s="167">
        <v>71000</v>
      </c>
      <c r="Y22" s="36"/>
      <c r="Z22" s="36"/>
      <c r="AA22" s="35">
        <f>W22+X22</f>
        <v>158980</v>
      </c>
      <c r="AB22" s="29"/>
      <c r="AC22" s="29"/>
      <c r="AD22" s="29"/>
      <c r="AE22" s="36"/>
      <c r="AF22" s="29"/>
      <c r="AG22" s="36"/>
      <c r="AH22" s="36"/>
      <c r="AI22" s="36"/>
      <c r="AJ22" s="36"/>
      <c r="AK22" s="36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</row>
    <row r="23" spans="1:56" s="1" customFormat="1" ht="36">
      <c r="A23" s="1">
        <v>63</v>
      </c>
      <c r="B23" s="38"/>
      <c r="C23" s="31">
        <v>2011</v>
      </c>
      <c r="D23" s="36">
        <v>2012</v>
      </c>
      <c r="E23" s="36" t="s">
        <v>151</v>
      </c>
      <c r="F23" s="30" t="s">
        <v>381</v>
      </c>
      <c r="G23" s="32" t="s">
        <v>382</v>
      </c>
      <c r="H23" s="242"/>
      <c r="I23" s="29"/>
      <c r="J23" s="262" t="s">
        <v>237</v>
      </c>
      <c r="K23" s="192" t="s">
        <v>548</v>
      </c>
      <c r="L23" s="45" t="s">
        <v>384</v>
      </c>
      <c r="M23" s="178" t="s">
        <v>339</v>
      </c>
      <c r="N23" s="187" t="s">
        <v>343</v>
      </c>
      <c r="O23" s="31" t="s">
        <v>385</v>
      </c>
      <c r="P23" s="36" t="s">
        <v>185</v>
      </c>
      <c r="Q23" s="31">
        <v>60870</v>
      </c>
      <c r="R23" s="38">
        <v>40956</v>
      </c>
      <c r="S23" s="109"/>
      <c r="T23" s="110"/>
      <c r="U23" s="31"/>
      <c r="V23" s="29"/>
      <c r="W23" s="165"/>
      <c r="X23" s="167">
        <v>40956</v>
      </c>
      <c r="Y23" s="36"/>
      <c r="Z23" s="36"/>
      <c r="AA23" s="35">
        <v>40956</v>
      </c>
      <c r="AB23" s="29"/>
      <c r="AC23" s="29"/>
      <c r="AD23" s="29"/>
      <c r="AE23" s="36"/>
      <c r="AF23" s="29"/>
      <c r="AG23" s="36"/>
      <c r="AH23" s="36"/>
      <c r="AI23" s="36"/>
      <c r="AJ23" s="36"/>
      <c r="AK23" s="36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</row>
    <row r="24" spans="1:56" s="1" customFormat="1" ht="36">
      <c r="A24" s="1">
        <v>64</v>
      </c>
      <c r="B24" s="38"/>
      <c r="C24" s="31">
        <v>2008</v>
      </c>
      <c r="D24" s="29">
        <v>2010</v>
      </c>
      <c r="E24" s="36" t="s">
        <v>151</v>
      </c>
      <c r="F24" s="116" t="s">
        <v>325</v>
      </c>
      <c r="G24" s="32" t="s">
        <v>367</v>
      </c>
      <c r="H24" s="242"/>
      <c r="I24" s="29"/>
      <c r="J24" s="262" t="s">
        <v>204</v>
      </c>
      <c r="K24" s="192" t="s">
        <v>534</v>
      </c>
      <c r="L24" s="45" t="s">
        <v>204</v>
      </c>
      <c r="M24" s="178" t="s">
        <v>368</v>
      </c>
      <c r="N24" s="187" t="s">
        <v>487</v>
      </c>
      <c r="O24" s="31">
        <v>2</v>
      </c>
      <c r="P24" s="36"/>
      <c r="Q24" s="31"/>
      <c r="R24" s="38">
        <v>152000</v>
      </c>
      <c r="S24" s="109"/>
      <c r="T24" s="110"/>
      <c r="U24" s="31">
        <v>50666</v>
      </c>
      <c r="V24" s="56">
        <v>50666</v>
      </c>
      <c r="W24" s="165">
        <v>50666</v>
      </c>
      <c r="X24" s="167"/>
      <c r="Y24" s="36"/>
      <c r="Z24" s="36"/>
      <c r="AA24" s="35"/>
      <c r="AB24" s="29"/>
      <c r="AC24" s="29"/>
      <c r="AD24" s="29"/>
      <c r="AE24" s="36"/>
      <c r="AF24" s="29"/>
      <c r="AG24" s="36"/>
      <c r="AH24" s="36"/>
      <c r="AI24" s="36"/>
      <c r="AJ24" s="36"/>
      <c r="AK24" s="36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</row>
    <row r="25" spans="1:44" s="29" customFormat="1" ht="69.75">
      <c r="A25" s="29">
        <v>67</v>
      </c>
      <c r="B25" s="30" t="s">
        <v>500</v>
      </c>
      <c r="C25" s="31">
        <v>2006</v>
      </c>
      <c r="D25" s="31">
        <v>2013</v>
      </c>
      <c r="E25" s="31" t="s">
        <v>151</v>
      </c>
      <c r="F25" s="30" t="s">
        <v>479</v>
      </c>
      <c r="G25" s="42" t="s">
        <v>71</v>
      </c>
      <c r="H25" s="242"/>
      <c r="I25" s="259"/>
      <c r="J25" s="197" t="s">
        <v>254</v>
      </c>
      <c r="K25" s="192" t="s">
        <v>549</v>
      </c>
      <c r="L25" s="45" t="s">
        <v>255</v>
      </c>
      <c r="M25" s="178" t="s">
        <v>72</v>
      </c>
      <c r="N25" s="187" t="s">
        <v>483</v>
      </c>
      <c r="O25" s="31" t="s">
        <v>491</v>
      </c>
      <c r="P25" s="31" t="s">
        <v>185</v>
      </c>
      <c r="Q25" s="31">
        <f>106208+146438+158775</f>
        <v>411421</v>
      </c>
      <c r="R25" s="31">
        <f>66221+75000+15123+77643</f>
        <v>233987</v>
      </c>
      <c r="S25" s="31">
        <v>33110</v>
      </c>
      <c r="T25" s="31">
        <v>33110</v>
      </c>
      <c r="U25" s="43">
        <v>45061</v>
      </c>
      <c r="V25" s="43">
        <v>45061</v>
      </c>
      <c r="W25" s="155">
        <v>38821</v>
      </c>
      <c r="X25" s="155">
        <v>38822</v>
      </c>
      <c r="Y25" s="43"/>
      <c r="Z25" s="43"/>
      <c r="AA25" s="36">
        <f>141221+77643</f>
        <v>218864</v>
      </c>
      <c r="AB25" s="40"/>
      <c r="AC25" s="40"/>
      <c r="AD25" s="40"/>
      <c r="AE25" s="38"/>
      <c r="AG25" s="36"/>
      <c r="AH25" s="36"/>
      <c r="AI25" s="36">
        <v>15123</v>
      </c>
      <c r="AJ25" s="36"/>
      <c r="AK25" s="36"/>
      <c r="AL25" s="36"/>
      <c r="AN25" s="38"/>
      <c r="AO25" s="44"/>
      <c r="AP25" s="44"/>
      <c r="AQ25" s="45"/>
      <c r="AR25" s="36"/>
    </row>
    <row r="26" spans="1:44" s="29" customFormat="1" ht="36">
      <c r="A26" s="29">
        <v>77</v>
      </c>
      <c r="C26" s="31">
        <v>2011</v>
      </c>
      <c r="D26" s="29">
        <v>2012</v>
      </c>
      <c r="E26" s="45" t="s">
        <v>151</v>
      </c>
      <c r="F26" s="30" t="s">
        <v>386</v>
      </c>
      <c r="G26" s="40" t="s">
        <v>423</v>
      </c>
      <c r="H26" s="132"/>
      <c r="I26" s="101"/>
      <c r="J26" s="178" t="s">
        <v>424</v>
      </c>
      <c r="K26" s="192" t="s">
        <v>550</v>
      </c>
      <c r="L26" s="45" t="s">
        <v>388</v>
      </c>
      <c r="M26" s="178"/>
      <c r="N26" s="180"/>
      <c r="O26" s="36" t="s">
        <v>262</v>
      </c>
      <c r="P26" s="36" t="s">
        <v>185</v>
      </c>
      <c r="Q26" s="29">
        <v>127182</v>
      </c>
      <c r="R26" s="122">
        <v>61111</v>
      </c>
      <c r="T26" s="102"/>
      <c r="U26" s="36"/>
      <c r="V26" s="103"/>
      <c r="W26" s="167"/>
      <c r="X26" s="167">
        <v>61111</v>
      </c>
      <c r="Y26" s="36"/>
      <c r="Z26" s="36"/>
      <c r="AA26" s="29">
        <f>X26</f>
        <v>61111</v>
      </c>
      <c r="AE26" s="36"/>
      <c r="AG26" s="36"/>
      <c r="AH26" s="36"/>
      <c r="AI26" s="36"/>
      <c r="AJ26" s="36"/>
      <c r="AK26" s="36"/>
      <c r="AL26" s="36"/>
      <c r="AO26" s="36"/>
      <c r="AP26" s="36"/>
      <c r="AQ26" s="36"/>
      <c r="AR26" s="36"/>
    </row>
    <row r="27" spans="1:44" s="29" customFormat="1" ht="31.5">
      <c r="A27" s="29">
        <v>78</v>
      </c>
      <c r="C27" s="31">
        <v>2011</v>
      </c>
      <c r="D27" s="29">
        <v>2014</v>
      </c>
      <c r="E27" s="45" t="s">
        <v>151</v>
      </c>
      <c r="F27" s="30" t="s">
        <v>394</v>
      </c>
      <c r="G27" s="40" t="s">
        <v>395</v>
      </c>
      <c r="H27" s="132"/>
      <c r="I27" s="101"/>
      <c r="J27" s="178" t="s">
        <v>348</v>
      </c>
      <c r="K27" s="192" t="s">
        <v>551</v>
      </c>
      <c r="L27" s="45" t="s">
        <v>396</v>
      </c>
      <c r="M27" s="178" t="s">
        <v>397</v>
      </c>
      <c r="N27" s="180" t="s">
        <v>349</v>
      </c>
      <c r="O27" s="36" t="s">
        <v>398</v>
      </c>
      <c r="P27" s="36" t="s">
        <v>185</v>
      </c>
      <c r="Q27" s="29">
        <v>403000</v>
      </c>
      <c r="R27" s="122">
        <f>126+75</f>
        <v>201</v>
      </c>
      <c r="T27" s="102"/>
      <c r="U27" s="36"/>
      <c r="V27" s="103"/>
      <c r="W27" s="167"/>
      <c r="X27" s="167">
        <v>67000</v>
      </c>
      <c r="Y27" s="36">
        <v>67000</v>
      </c>
      <c r="Z27" s="36">
        <v>67000</v>
      </c>
      <c r="AA27" s="29">
        <v>75</v>
      </c>
      <c r="AE27" s="36" t="s">
        <v>399</v>
      </c>
      <c r="AG27" s="36"/>
      <c r="AH27" s="36"/>
      <c r="AI27" s="36"/>
      <c r="AJ27" s="36"/>
      <c r="AK27" s="36"/>
      <c r="AL27" s="36"/>
      <c r="AO27" s="36"/>
      <c r="AP27" s="36"/>
      <c r="AQ27" s="36"/>
      <c r="AR27" s="36"/>
    </row>
    <row r="28" spans="1:44" s="29" customFormat="1" ht="36">
      <c r="A28" s="29">
        <v>79</v>
      </c>
      <c r="C28" s="31">
        <v>2010</v>
      </c>
      <c r="D28" s="29">
        <v>2012</v>
      </c>
      <c r="E28" s="45" t="s">
        <v>151</v>
      </c>
      <c r="F28" s="30" t="s">
        <v>413</v>
      </c>
      <c r="G28" s="40" t="s">
        <v>414</v>
      </c>
      <c r="H28" s="132"/>
      <c r="I28" s="101"/>
      <c r="J28" s="178" t="s">
        <v>223</v>
      </c>
      <c r="K28" s="192" t="s">
        <v>552</v>
      </c>
      <c r="L28" s="45" t="s">
        <v>415</v>
      </c>
      <c r="M28" s="178" t="s">
        <v>397</v>
      </c>
      <c r="N28" s="180" t="s">
        <v>343</v>
      </c>
      <c r="O28" s="36" t="s">
        <v>491</v>
      </c>
      <c r="P28" s="36" t="s">
        <v>185</v>
      </c>
      <c r="R28" s="122">
        <v>107000</v>
      </c>
      <c r="T28" s="102"/>
      <c r="U28" s="36"/>
      <c r="V28" s="103"/>
      <c r="W28" s="167">
        <v>30000</v>
      </c>
      <c r="X28" s="167">
        <v>47000</v>
      </c>
      <c r="Y28" s="36">
        <v>30000</v>
      </c>
      <c r="Z28" s="36"/>
      <c r="AE28" s="36"/>
      <c r="AG28" s="36"/>
      <c r="AH28" s="36"/>
      <c r="AI28" s="36"/>
      <c r="AJ28" s="36"/>
      <c r="AK28" s="36"/>
      <c r="AL28" s="36"/>
      <c r="AO28" s="36"/>
      <c r="AP28" s="36"/>
      <c r="AQ28" s="36"/>
      <c r="AR28" s="36"/>
    </row>
    <row r="29" spans="1:44" s="23" customFormat="1" ht="18">
      <c r="A29" s="23">
        <v>80</v>
      </c>
      <c r="E29" s="53" t="s">
        <v>151</v>
      </c>
      <c r="F29" s="117" t="s">
        <v>324</v>
      </c>
      <c r="G29" s="250" t="s">
        <v>298</v>
      </c>
      <c r="H29" s="132"/>
      <c r="J29" s="184" t="s">
        <v>424</v>
      </c>
      <c r="K29" s="196" t="s">
        <v>322</v>
      </c>
      <c r="L29" s="195" t="s">
        <v>318</v>
      </c>
      <c r="M29" s="188" t="s">
        <v>425</v>
      </c>
      <c r="N29" s="177" t="s">
        <v>267</v>
      </c>
      <c r="O29" s="113" t="s">
        <v>262</v>
      </c>
      <c r="P29" s="50"/>
      <c r="Q29" s="112"/>
      <c r="R29" s="142">
        <v>150000</v>
      </c>
      <c r="S29" s="142">
        <v>150000</v>
      </c>
      <c r="T29" s="142">
        <f>600000/4</f>
        <v>150000</v>
      </c>
      <c r="U29" s="142">
        <f>600000/4</f>
        <v>150000</v>
      </c>
      <c r="V29" s="50"/>
      <c r="W29" s="169"/>
      <c r="X29" s="169"/>
      <c r="Y29" s="50"/>
      <c r="Z29" s="50"/>
      <c r="AE29" s="50"/>
      <c r="AF29" s="23" t="s">
        <v>357</v>
      </c>
      <c r="AG29" s="50"/>
      <c r="AH29" s="50"/>
      <c r="AI29" s="50"/>
      <c r="AJ29" s="50"/>
      <c r="AK29" s="50"/>
      <c r="AL29" s="50"/>
      <c r="AO29" s="50"/>
      <c r="AP29" s="50"/>
      <c r="AQ29" s="50"/>
      <c r="AR29" s="50"/>
    </row>
    <row r="30" spans="1:44" s="1" customFormat="1" ht="36">
      <c r="A30" s="1">
        <v>81</v>
      </c>
      <c r="B30" s="29"/>
      <c r="C30" s="29">
        <v>2007</v>
      </c>
      <c r="D30" s="29">
        <v>2010</v>
      </c>
      <c r="E30" s="45" t="s">
        <v>151</v>
      </c>
      <c r="F30" s="116" t="s">
        <v>324</v>
      </c>
      <c r="G30" s="32" t="s">
        <v>299</v>
      </c>
      <c r="H30" s="132"/>
      <c r="I30" s="29"/>
      <c r="J30" s="180" t="s">
        <v>263</v>
      </c>
      <c r="K30" s="192" t="s">
        <v>527</v>
      </c>
      <c r="L30" s="191" t="s">
        <v>319</v>
      </c>
      <c r="M30" s="182" t="s">
        <v>365</v>
      </c>
      <c r="N30" s="180" t="s">
        <v>267</v>
      </c>
      <c r="O30" s="104">
        <v>3</v>
      </c>
      <c r="P30" s="36"/>
      <c r="Q30" s="103"/>
      <c r="R30" s="29"/>
      <c r="S30" s="29"/>
      <c r="T30" s="111"/>
      <c r="U30" s="110">
        <f>694121/3</f>
        <v>231373.66666666666</v>
      </c>
      <c r="V30" s="110">
        <v>231373</v>
      </c>
      <c r="W30" s="110">
        <v>231373</v>
      </c>
      <c r="X30" s="167"/>
      <c r="Y30" s="36"/>
      <c r="Z30" s="36"/>
      <c r="AA30" s="29"/>
      <c r="AB30" s="29"/>
      <c r="AC30" s="29"/>
      <c r="AD30" s="29"/>
      <c r="AE30" s="36"/>
      <c r="AF30" s="29" t="s">
        <v>357</v>
      </c>
      <c r="AG30" s="2"/>
      <c r="AH30" s="2"/>
      <c r="AI30" s="2"/>
      <c r="AJ30" s="2"/>
      <c r="AK30" s="2"/>
      <c r="AL30" s="2"/>
      <c r="AO30" s="2"/>
      <c r="AP30" s="2"/>
      <c r="AQ30" s="2"/>
      <c r="AR30" s="2"/>
    </row>
    <row r="31" spans="1:44" s="29" customFormat="1" ht="36">
      <c r="A31" s="29">
        <v>82</v>
      </c>
      <c r="C31" s="29">
        <v>2009</v>
      </c>
      <c r="D31" s="29">
        <v>2013</v>
      </c>
      <c r="E31" s="45" t="s">
        <v>151</v>
      </c>
      <c r="F31" s="116" t="s">
        <v>324</v>
      </c>
      <c r="G31" s="32" t="s">
        <v>426</v>
      </c>
      <c r="H31" s="132"/>
      <c r="J31" s="178" t="s">
        <v>427</v>
      </c>
      <c r="K31" s="200" t="s">
        <v>528</v>
      </c>
      <c r="L31" s="191" t="s">
        <v>428</v>
      </c>
      <c r="M31" s="182" t="s">
        <v>354</v>
      </c>
      <c r="N31" s="178" t="s">
        <v>267</v>
      </c>
      <c r="O31" s="104" t="s">
        <v>262</v>
      </c>
      <c r="P31" s="36"/>
      <c r="Q31" s="103"/>
      <c r="T31" s="111"/>
      <c r="U31" s="110"/>
      <c r="V31" s="110"/>
      <c r="W31" s="110"/>
      <c r="X31" s="167"/>
      <c r="Y31" s="36"/>
      <c r="Z31" s="36"/>
      <c r="AE31" s="36"/>
      <c r="AG31" s="36"/>
      <c r="AH31" s="36"/>
      <c r="AI31" s="36"/>
      <c r="AJ31" s="36"/>
      <c r="AK31" s="36"/>
      <c r="AL31" s="36"/>
      <c r="AO31" s="36"/>
      <c r="AP31" s="36"/>
      <c r="AQ31" s="36"/>
      <c r="AR31" s="36"/>
    </row>
    <row r="32" spans="1:44" s="29" customFormat="1" ht="36">
      <c r="A32" s="29">
        <v>83</v>
      </c>
      <c r="C32" s="29">
        <v>2010</v>
      </c>
      <c r="D32" s="29">
        <v>2013</v>
      </c>
      <c r="E32" s="45" t="s">
        <v>151</v>
      </c>
      <c r="F32" s="116" t="s">
        <v>324</v>
      </c>
      <c r="G32" s="32" t="s">
        <v>429</v>
      </c>
      <c r="H32" s="132"/>
      <c r="J32" s="178" t="s">
        <v>424</v>
      </c>
      <c r="K32" s="200" t="s">
        <v>529</v>
      </c>
      <c r="L32" s="191" t="s">
        <v>430</v>
      </c>
      <c r="M32" s="182" t="s">
        <v>431</v>
      </c>
      <c r="N32" s="178" t="s">
        <v>267</v>
      </c>
      <c r="O32" s="104">
        <v>3</v>
      </c>
      <c r="P32" s="45" t="s">
        <v>185</v>
      </c>
      <c r="Q32" s="103">
        <v>227203</v>
      </c>
      <c r="R32" s="103">
        <v>144612</v>
      </c>
      <c r="T32" s="111"/>
      <c r="U32" s="110"/>
      <c r="V32" s="110"/>
      <c r="W32" s="110">
        <f>+(129168+144612)/3</f>
        <v>91260</v>
      </c>
      <c r="X32" s="110">
        <f>+(129168+144612)/3</f>
        <v>91260</v>
      </c>
      <c r="Y32" s="110">
        <f>+(129168+144612)/3</f>
        <v>91260</v>
      </c>
      <c r="Z32" s="36"/>
      <c r="AE32" s="36"/>
      <c r="AF32" s="29" t="s">
        <v>357</v>
      </c>
      <c r="AG32" s="36"/>
      <c r="AH32" s="36"/>
      <c r="AI32" s="36"/>
      <c r="AJ32" s="36"/>
      <c r="AK32" s="36"/>
      <c r="AL32" s="36"/>
      <c r="AO32" s="36"/>
      <c r="AP32" s="36"/>
      <c r="AQ32" s="36"/>
      <c r="AR32" s="36"/>
    </row>
    <row r="33" spans="1:44" s="29" customFormat="1" ht="36">
      <c r="A33" s="29">
        <v>84</v>
      </c>
      <c r="E33" s="45" t="s">
        <v>151</v>
      </c>
      <c r="F33" s="116" t="s">
        <v>324</v>
      </c>
      <c r="G33" s="32" t="s">
        <v>432</v>
      </c>
      <c r="H33" s="132"/>
      <c r="J33" s="178" t="s">
        <v>433</v>
      </c>
      <c r="K33" s="200" t="s">
        <v>530</v>
      </c>
      <c r="L33" s="191" t="s">
        <v>434</v>
      </c>
      <c r="M33" s="182" t="s">
        <v>435</v>
      </c>
      <c r="N33" s="178" t="s">
        <v>267</v>
      </c>
      <c r="O33" s="104" t="s">
        <v>262</v>
      </c>
      <c r="P33" s="45"/>
      <c r="Q33" s="103"/>
      <c r="R33" s="103"/>
      <c r="T33" s="111"/>
      <c r="U33" s="110"/>
      <c r="V33" s="110"/>
      <c r="W33" s="110"/>
      <c r="X33" s="110"/>
      <c r="Y33" s="110"/>
      <c r="Z33" s="36"/>
      <c r="AE33" s="36"/>
      <c r="AG33" s="36"/>
      <c r="AH33" s="36"/>
      <c r="AI33" s="36"/>
      <c r="AJ33" s="36"/>
      <c r="AK33" s="36"/>
      <c r="AL33" s="36"/>
      <c r="AO33" s="36"/>
      <c r="AP33" s="36"/>
      <c r="AQ33" s="36"/>
      <c r="AR33" s="36"/>
    </row>
    <row r="34" spans="1:44" s="29" customFormat="1" ht="36">
      <c r="A34" s="29">
        <v>85</v>
      </c>
      <c r="E34" s="45" t="s">
        <v>151</v>
      </c>
      <c r="F34" s="116" t="s">
        <v>324</v>
      </c>
      <c r="G34" s="32" t="s">
        <v>436</v>
      </c>
      <c r="H34" s="132"/>
      <c r="J34" s="178" t="s">
        <v>424</v>
      </c>
      <c r="K34" s="200" t="s">
        <v>531</v>
      </c>
      <c r="L34" s="191" t="s">
        <v>437</v>
      </c>
      <c r="M34" s="182" t="s">
        <v>438</v>
      </c>
      <c r="N34" s="178" t="s">
        <v>267</v>
      </c>
      <c r="O34" s="104">
        <v>3</v>
      </c>
      <c r="P34" s="45" t="s">
        <v>439</v>
      </c>
      <c r="Q34" s="103"/>
      <c r="R34" s="103">
        <v>63064</v>
      </c>
      <c r="T34" s="111"/>
      <c r="U34" s="110"/>
      <c r="V34" s="110"/>
      <c r="W34" s="110">
        <f>+R34/3</f>
        <v>21021.333333333332</v>
      </c>
      <c r="X34" s="110">
        <f>+R34/3</f>
        <v>21021.333333333332</v>
      </c>
      <c r="Y34" s="110">
        <f>+R34/3</f>
        <v>21021.333333333332</v>
      </c>
      <c r="Z34" s="36"/>
      <c r="AE34" s="36"/>
      <c r="AG34" s="36"/>
      <c r="AH34" s="36"/>
      <c r="AI34" s="36"/>
      <c r="AJ34" s="36"/>
      <c r="AK34" s="36"/>
      <c r="AL34" s="36"/>
      <c r="AO34" s="36"/>
      <c r="AP34" s="36"/>
      <c r="AQ34" s="36"/>
      <c r="AR34" s="36"/>
    </row>
    <row r="35" spans="1:44" s="29" customFormat="1" ht="18">
      <c r="A35" s="29">
        <v>86</v>
      </c>
      <c r="C35" s="29">
        <v>2010</v>
      </c>
      <c r="D35" s="29">
        <v>2014</v>
      </c>
      <c r="E35" s="45" t="s">
        <v>151</v>
      </c>
      <c r="F35" s="116" t="s">
        <v>324</v>
      </c>
      <c r="G35" s="251" t="s">
        <v>440</v>
      </c>
      <c r="H35" s="132"/>
      <c r="J35" s="178" t="s">
        <v>424</v>
      </c>
      <c r="K35" s="265" t="s">
        <v>532</v>
      </c>
      <c r="L35" s="268" t="s">
        <v>442</v>
      </c>
      <c r="M35" s="182" t="s">
        <v>438</v>
      </c>
      <c r="N35" s="178" t="s">
        <v>267</v>
      </c>
      <c r="O35" s="104">
        <v>3</v>
      </c>
      <c r="P35" s="45" t="s">
        <v>185</v>
      </c>
      <c r="Q35" s="103"/>
      <c r="R35" s="103">
        <v>344301.86</v>
      </c>
      <c r="S35" s="38"/>
      <c r="T35" s="111"/>
      <c r="U35" s="110"/>
      <c r="V35" s="110"/>
      <c r="W35" s="110">
        <f>+R35/4</f>
        <v>86075.465</v>
      </c>
      <c r="X35" s="110">
        <f>+R35/4</f>
        <v>86075.465</v>
      </c>
      <c r="Y35" s="110">
        <f>+R35/4</f>
        <v>86075.465</v>
      </c>
      <c r="Z35" s="110">
        <f>+R35/4</f>
        <v>86075.465</v>
      </c>
      <c r="AE35" s="36"/>
      <c r="AG35" s="36"/>
      <c r="AH35" s="36"/>
      <c r="AI35" s="36"/>
      <c r="AJ35" s="36"/>
      <c r="AK35" s="36"/>
      <c r="AL35" s="36"/>
      <c r="AO35" s="36"/>
      <c r="AP35" s="36"/>
      <c r="AQ35" s="36"/>
      <c r="AR35" s="36"/>
    </row>
    <row r="36" spans="1:44" s="29" customFormat="1" ht="30">
      <c r="A36" s="29">
        <v>87</v>
      </c>
      <c r="E36" s="45" t="s">
        <v>151</v>
      </c>
      <c r="F36" s="116" t="s">
        <v>324</v>
      </c>
      <c r="G36" s="32" t="s">
        <v>441</v>
      </c>
      <c r="H36" s="132"/>
      <c r="J36" s="178" t="s">
        <v>433</v>
      </c>
      <c r="K36" s="200" t="s">
        <v>522</v>
      </c>
      <c r="L36" s="191" t="s">
        <v>443</v>
      </c>
      <c r="M36" s="182" t="s">
        <v>431</v>
      </c>
      <c r="N36" s="178" t="s">
        <v>267</v>
      </c>
      <c r="O36" s="104" t="s">
        <v>262</v>
      </c>
      <c r="P36" s="45"/>
      <c r="Q36" s="103"/>
      <c r="R36" s="38"/>
      <c r="S36" s="38"/>
      <c r="T36" s="111"/>
      <c r="U36" s="110"/>
      <c r="V36" s="110"/>
      <c r="W36" s="110"/>
      <c r="X36" s="170"/>
      <c r="Y36" s="45"/>
      <c r="Z36" s="45"/>
      <c r="AE36" s="36"/>
      <c r="AG36" s="36"/>
      <c r="AH36" s="36"/>
      <c r="AI36" s="36"/>
      <c r="AJ36" s="36"/>
      <c r="AK36" s="36"/>
      <c r="AL36" s="36"/>
      <c r="AO36" s="36"/>
      <c r="AP36" s="36"/>
      <c r="AQ36" s="36"/>
      <c r="AR36" s="36"/>
    </row>
    <row r="37" spans="1:44" s="1" customFormat="1" ht="18">
      <c r="A37" s="1">
        <v>88</v>
      </c>
      <c r="B37" s="29"/>
      <c r="C37" s="29">
        <v>2008</v>
      </c>
      <c r="D37" s="29">
        <v>2011</v>
      </c>
      <c r="E37" s="45" t="s">
        <v>151</v>
      </c>
      <c r="F37" s="116" t="s">
        <v>324</v>
      </c>
      <c r="G37" s="32" t="s">
        <v>300</v>
      </c>
      <c r="H37" s="132"/>
      <c r="I37" s="29"/>
      <c r="J37" s="178" t="s">
        <v>444</v>
      </c>
      <c r="K37" s="192" t="s">
        <v>523</v>
      </c>
      <c r="L37" s="191" t="s">
        <v>320</v>
      </c>
      <c r="M37" s="182" t="s">
        <v>364</v>
      </c>
      <c r="N37" s="180" t="s">
        <v>267</v>
      </c>
      <c r="O37" s="104">
        <v>3</v>
      </c>
      <c r="P37" s="36"/>
      <c r="Q37" s="103"/>
      <c r="R37" s="29"/>
      <c r="S37" s="29"/>
      <c r="T37" s="111"/>
      <c r="U37" s="110">
        <f>798634/3</f>
        <v>266211.3333333333</v>
      </c>
      <c r="V37" s="110">
        <v>266211</v>
      </c>
      <c r="W37" s="110">
        <v>266211</v>
      </c>
      <c r="X37" s="167"/>
      <c r="Y37" s="36"/>
      <c r="Z37" s="36"/>
      <c r="AA37" s="29"/>
      <c r="AB37" s="29"/>
      <c r="AC37" s="29"/>
      <c r="AD37" s="29"/>
      <c r="AE37" s="36"/>
      <c r="AF37" s="29" t="s">
        <v>357</v>
      </c>
      <c r="AG37" s="2"/>
      <c r="AH37" s="2"/>
      <c r="AI37" s="2"/>
      <c r="AJ37" s="2"/>
      <c r="AK37" s="2"/>
      <c r="AL37" s="2"/>
      <c r="AO37" s="2"/>
      <c r="AP37" s="2"/>
      <c r="AQ37" s="2"/>
      <c r="AR37" s="2"/>
    </row>
    <row r="38" spans="1:44" s="29" customFormat="1" ht="18">
      <c r="A38" s="29">
        <v>89</v>
      </c>
      <c r="C38" s="29">
        <v>2009</v>
      </c>
      <c r="D38" s="29">
        <v>2012</v>
      </c>
      <c r="E38" s="45" t="s">
        <v>151</v>
      </c>
      <c r="F38" s="116" t="s">
        <v>324</v>
      </c>
      <c r="G38" s="32" t="s">
        <v>363</v>
      </c>
      <c r="H38" s="132"/>
      <c r="J38" s="180" t="s">
        <v>263</v>
      </c>
      <c r="K38" s="200" t="s">
        <v>524</v>
      </c>
      <c r="L38" s="191"/>
      <c r="M38" s="182" t="s">
        <v>354</v>
      </c>
      <c r="N38" s="180" t="s">
        <v>267</v>
      </c>
      <c r="O38" s="104">
        <v>3</v>
      </c>
      <c r="P38" s="36"/>
      <c r="Q38" s="103"/>
      <c r="T38" s="111"/>
      <c r="U38" s="110"/>
      <c r="V38" s="110">
        <v>291188</v>
      </c>
      <c r="W38" s="110">
        <v>291188</v>
      </c>
      <c r="X38" s="167"/>
      <c r="Y38" s="36"/>
      <c r="Z38" s="36"/>
      <c r="AE38" s="36"/>
      <c r="AF38" s="29" t="s">
        <v>357</v>
      </c>
      <c r="AG38" s="36"/>
      <c r="AH38" s="36"/>
      <c r="AI38" s="36"/>
      <c r="AJ38" s="36"/>
      <c r="AK38" s="36"/>
      <c r="AL38" s="36"/>
      <c r="AO38" s="36"/>
      <c r="AP38" s="36"/>
      <c r="AQ38" s="36"/>
      <c r="AR38" s="36"/>
    </row>
    <row r="39" spans="1:44" s="29" customFormat="1" ht="30">
      <c r="A39" s="29">
        <v>90</v>
      </c>
      <c r="C39" s="29">
        <v>2010</v>
      </c>
      <c r="D39" s="29">
        <v>2014</v>
      </c>
      <c r="E39" s="45" t="s">
        <v>151</v>
      </c>
      <c r="F39" s="116" t="s">
        <v>324</v>
      </c>
      <c r="G39" s="32" t="s">
        <v>445</v>
      </c>
      <c r="H39" s="132"/>
      <c r="I39" s="31"/>
      <c r="J39" s="178" t="s">
        <v>424</v>
      </c>
      <c r="K39" s="192" t="s">
        <v>525</v>
      </c>
      <c r="L39" s="191"/>
      <c r="M39" s="182" t="s">
        <v>354</v>
      </c>
      <c r="N39" s="180" t="s">
        <v>267</v>
      </c>
      <c r="O39" s="104">
        <v>3</v>
      </c>
      <c r="P39" s="36"/>
      <c r="Q39" s="103"/>
      <c r="T39" s="111"/>
      <c r="U39" s="110"/>
      <c r="V39" s="110"/>
      <c r="W39" s="110">
        <v>64341</v>
      </c>
      <c r="X39" s="110">
        <v>64341</v>
      </c>
      <c r="Y39" s="110">
        <v>64341</v>
      </c>
      <c r="Z39" s="110">
        <v>64341</v>
      </c>
      <c r="AE39" s="36"/>
      <c r="AG39" s="36"/>
      <c r="AH39" s="36"/>
      <c r="AI39" s="36"/>
      <c r="AJ39" s="36"/>
      <c r="AK39" s="36"/>
      <c r="AL39" s="36"/>
      <c r="AO39" s="36"/>
      <c r="AP39" s="36"/>
      <c r="AQ39" s="36"/>
      <c r="AR39" s="36"/>
    </row>
    <row r="40" spans="1:44" s="29" customFormat="1" ht="30">
      <c r="A40" s="29">
        <v>91</v>
      </c>
      <c r="C40" s="29">
        <v>2010</v>
      </c>
      <c r="D40" s="29">
        <v>2011</v>
      </c>
      <c r="E40" s="45" t="s">
        <v>151</v>
      </c>
      <c r="F40" s="116" t="s">
        <v>324</v>
      </c>
      <c r="G40" s="32" t="s">
        <v>520</v>
      </c>
      <c r="H40" s="132"/>
      <c r="I40" s="31"/>
      <c r="J40" s="178" t="s">
        <v>446</v>
      </c>
      <c r="K40" s="192" t="s">
        <v>526</v>
      </c>
      <c r="L40" s="191"/>
      <c r="M40" s="182" t="s">
        <v>447</v>
      </c>
      <c r="N40" s="180" t="s">
        <v>267</v>
      </c>
      <c r="O40" s="104" t="s">
        <v>262</v>
      </c>
      <c r="P40" s="36"/>
      <c r="Q40" s="103"/>
      <c r="T40" s="111"/>
      <c r="U40" s="110"/>
      <c r="V40" s="110"/>
      <c r="W40" s="110"/>
      <c r="X40" s="110"/>
      <c r="Y40" s="110"/>
      <c r="Z40" s="110"/>
      <c r="AE40" s="36"/>
      <c r="AG40" s="36"/>
      <c r="AH40" s="36"/>
      <c r="AI40" s="36"/>
      <c r="AJ40" s="36"/>
      <c r="AK40" s="36"/>
      <c r="AL40" s="36"/>
      <c r="AO40" s="36"/>
      <c r="AP40" s="36"/>
      <c r="AQ40" s="36"/>
      <c r="AR40" s="36"/>
    </row>
    <row r="41" spans="1:44" s="29" customFormat="1" ht="15">
      <c r="A41" s="29">
        <v>96</v>
      </c>
      <c r="E41" s="45" t="s">
        <v>151</v>
      </c>
      <c r="F41" s="116" t="s">
        <v>478</v>
      </c>
      <c r="G41" s="32" t="s">
        <v>302</v>
      </c>
      <c r="H41" s="132"/>
      <c r="J41" s="180" t="s">
        <v>267</v>
      </c>
      <c r="K41" s="191"/>
      <c r="M41" s="182" t="s">
        <v>267</v>
      </c>
      <c r="N41" s="180" t="s">
        <v>267</v>
      </c>
      <c r="O41" s="104" t="s">
        <v>489</v>
      </c>
      <c r="P41" s="36"/>
      <c r="Q41" s="103"/>
      <c r="S41" s="131">
        <v>108587.27</v>
      </c>
      <c r="T41" s="131">
        <v>86272.7</v>
      </c>
      <c r="U41" s="107">
        <v>115000</v>
      </c>
      <c r="V41" s="108">
        <v>95000</v>
      </c>
      <c r="W41" s="171">
        <f>91235.3511705686-1036.6</f>
        <v>90198.75117056859</v>
      </c>
      <c r="X41" s="167"/>
      <c r="Y41" s="36"/>
      <c r="Z41" s="36"/>
      <c r="AE41" s="36"/>
      <c r="AG41" s="36"/>
      <c r="AH41" s="36"/>
      <c r="AI41" s="36"/>
      <c r="AJ41" s="36"/>
      <c r="AK41" s="36"/>
      <c r="AL41" s="36"/>
      <c r="AO41" s="36"/>
      <c r="AP41" s="36"/>
      <c r="AQ41" s="36"/>
      <c r="AR41" s="36"/>
    </row>
    <row r="42" spans="1:44" s="29" customFormat="1" ht="15">
      <c r="A42" s="29">
        <v>97</v>
      </c>
      <c r="E42" s="45" t="s">
        <v>151</v>
      </c>
      <c r="F42" s="116" t="s">
        <v>478</v>
      </c>
      <c r="G42" s="32" t="s">
        <v>346</v>
      </c>
      <c r="H42" s="132"/>
      <c r="J42" s="180" t="s">
        <v>267</v>
      </c>
      <c r="K42" s="191"/>
      <c r="M42" s="182" t="s">
        <v>267</v>
      </c>
      <c r="N42" s="179" t="s">
        <v>267</v>
      </c>
      <c r="O42" s="36" t="s">
        <v>489</v>
      </c>
      <c r="P42" s="36"/>
      <c r="Q42" s="103"/>
      <c r="S42" s="108">
        <v>194898.82</v>
      </c>
      <c r="T42" s="108">
        <v>190425.88</v>
      </c>
      <c r="U42" s="108">
        <v>254676.58</v>
      </c>
      <c r="V42" s="108">
        <v>222500</v>
      </c>
      <c r="W42" s="171">
        <f>221750.317959866-7566.99</f>
        <v>214183.327959866</v>
      </c>
      <c r="X42" s="167"/>
      <c r="Y42" s="36"/>
      <c r="Z42" s="36"/>
      <c r="AE42" s="36"/>
      <c r="AG42" s="36"/>
      <c r="AH42" s="36"/>
      <c r="AI42" s="36"/>
      <c r="AJ42" s="36"/>
      <c r="AK42" s="36"/>
      <c r="AL42" s="36"/>
      <c r="AO42" s="36"/>
      <c r="AP42" s="36"/>
      <c r="AQ42" s="36"/>
      <c r="AR42" s="36"/>
    </row>
    <row r="43" spans="1:44" s="1" customFormat="1" ht="27">
      <c r="A43" s="1">
        <v>98</v>
      </c>
      <c r="C43" s="29"/>
      <c r="D43" s="29"/>
      <c r="E43" s="45" t="s">
        <v>151</v>
      </c>
      <c r="F43" s="116"/>
      <c r="G43" s="40" t="s">
        <v>371</v>
      </c>
      <c r="H43" s="132"/>
      <c r="I43" s="128"/>
      <c r="J43" s="202"/>
      <c r="K43" s="203"/>
      <c r="L43" s="203"/>
      <c r="M43" s="178"/>
      <c r="N43" s="180" t="s">
        <v>372</v>
      </c>
      <c r="O43" s="36"/>
      <c r="P43" s="36"/>
      <c r="Q43" s="29"/>
      <c r="R43" s="29"/>
      <c r="S43" s="109">
        <v>40000</v>
      </c>
      <c r="T43" s="109">
        <v>50000</v>
      </c>
      <c r="U43" s="109">
        <v>55000</v>
      </c>
      <c r="V43" s="109">
        <v>55000</v>
      </c>
      <c r="W43" s="109">
        <v>55000</v>
      </c>
      <c r="X43" s="167"/>
      <c r="Y43" s="36"/>
      <c r="Z43" s="36"/>
      <c r="AA43" s="29"/>
      <c r="AB43" s="29"/>
      <c r="AC43" s="29"/>
      <c r="AD43" s="29"/>
      <c r="AE43" s="36"/>
      <c r="AF43" s="29"/>
      <c r="AG43" s="36"/>
      <c r="AH43" s="36"/>
      <c r="AI43" s="36"/>
      <c r="AJ43" s="36"/>
      <c r="AK43" s="36"/>
      <c r="AL43" s="36"/>
      <c r="AM43" s="29"/>
      <c r="AO43" s="2"/>
      <c r="AP43" s="2"/>
      <c r="AQ43" s="2"/>
      <c r="AR43" s="2"/>
    </row>
    <row r="44" spans="1:44" s="1" customFormat="1" ht="27">
      <c r="A44" s="1">
        <v>99</v>
      </c>
      <c r="C44" s="29"/>
      <c r="D44" s="29"/>
      <c r="E44" s="45" t="s">
        <v>151</v>
      </c>
      <c r="F44" s="116"/>
      <c r="G44" s="40" t="s">
        <v>498</v>
      </c>
      <c r="H44" s="239"/>
      <c r="I44" s="128"/>
      <c r="J44" s="180" t="s">
        <v>375</v>
      </c>
      <c r="K44" s="204" t="s">
        <v>374</v>
      </c>
      <c r="L44" s="203"/>
      <c r="M44" s="178"/>
      <c r="N44" s="180"/>
      <c r="O44" s="36"/>
      <c r="P44" s="36"/>
      <c r="Q44" s="29"/>
      <c r="R44" s="29"/>
      <c r="S44" s="109">
        <v>107514</v>
      </c>
      <c r="T44" s="109">
        <v>134738</v>
      </c>
      <c r="U44" s="109">
        <v>112164</v>
      </c>
      <c r="V44" s="109">
        <v>118174</v>
      </c>
      <c r="W44" s="109">
        <v>114834</v>
      </c>
      <c r="X44" s="167"/>
      <c r="Y44" s="36"/>
      <c r="Z44" s="36"/>
      <c r="AA44" s="29">
        <f>30331+37000+37000+43000</f>
        <v>147331</v>
      </c>
      <c r="AB44" s="29">
        <f>9254+31+9254+31+2000</f>
        <v>20570</v>
      </c>
      <c r="AC44" s="29"/>
      <c r="AD44" s="29"/>
      <c r="AE44" s="36"/>
      <c r="AF44" s="29"/>
      <c r="AG44" s="36"/>
      <c r="AH44" s="36">
        <f>11650+7056+7056+4000+20000</f>
        <v>49762</v>
      </c>
      <c r="AI44" s="36"/>
      <c r="AJ44" s="36"/>
      <c r="AK44" s="36">
        <f>8000+8000+14000</f>
        <v>30000</v>
      </c>
      <c r="AL44" s="36">
        <f>3000+3000+3000</f>
        <v>9000</v>
      </c>
      <c r="AM44" s="29"/>
      <c r="AO44" s="2"/>
      <c r="AP44" s="2"/>
      <c r="AQ44" s="2"/>
      <c r="AR44" s="2"/>
    </row>
    <row r="45" spans="1:44" s="29" customFormat="1" ht="36">
      <c r="A45" s="29">
        <v>32</v>
      </c>
      <c r="C45" s="29">
        <v>2008</v>
      </c>
      <c r="D45" s="29">
        <v>2011</v>
      </c>
      <c r="E45" s="45" t="s">
        <v>462</v>
      </c>
      <c r="F45" s="116" t="s">
        <v>324</v>
      </c>
      <c r="G45" s="42" t="s">
        <v>461</v>
      </c>
      <c r="H45" s="238"/>
      <c r="J45" s="178" t="s">
        <v>263</v>
      </c>
      <c r="K45" s="192" t="s">
        <v>535</v>
      </c>
      <c r="L45" s="29" t="s">
        <v>463</v>
      </c>
      <c r="M45" s="178" t="s">
        <v>454</v>
      </c>
      <c r="N45" s="180" t="s">
        <v>488</v>
      </c>
      <c r="O45" s="150" t="s">
        <v>489</v>
      </c>
      <c r="P45" s="36"/>
      <c r="Q45" s="103"/>
      <c r="T45" s="105"/>
      <c r="U45" s="107"/>
      <c r="W45" s="161">
        <v>6000</v>
      </c>
      <c r="X45" s="161"/>
      <c r="AB45" s="40"/>
      <c r="AC45" s="40"/>
      <c r="AD45" s="40"/>
      <c r="AE45" s="41"/>
      <c r="AG45" s="36"/>
      <c r="AH45" s="36"/>
      <c r="AI45" s="36"/>
      <c r="AJ45" s="36"/>
      <c r="AK45" s="36"/>
      <c r="AL45" s="36"/>
      <c r="AO45" s="36"/>
      <c r="AP45" s="36"/>
      <c r="AQ45" s="36"/>
      <c r="AR45" s="36"/>
    </row>
    <row r="46" spans="1:65" s="29" customFormat="1" ht="176.25">
      <c r="A46" s="29">
        <v>46</v>
      </c>
      <c r="B46" s="30">
        <v>4</v>
      </c>
      <c r="C46" s="29">
        <v>1999</v>
      </c>
      <c r="D46" s="36">
        <v>2013</v>
      </c>
      <c r="E46" s="31" t="s">
        <v>515</v>
      </c>
      <c r="F46" s="30" t="s">
        <v>99</v>
      </c>
      <c r="G46" s="32" t="s">
        <v>31</v>
      </c>
      <c r="H46" s="254" t="s">
        <v>183</v>
      </c>
      <c r="I46" s="33"/>
      <c r="J46" s="178" t="s">
        <v>204</v>
      </c>
      <c r="K46" s="192" t="s">
        <v>516</v>
      </c>
      <c r="L46" s="191" t="s">
        <v>205</v>
      </c>
      <c r="M46" s="178" t="s">
        <v>191</v>
      </c>
      <c r="N46" s="180" t="s">
        <v>343</v>
      </c>
      <c r="O46" s="36">
        <v>2</v>
      </c>
      <c r="P46" s="36" t="s">
        <v>185</v>
      </c>
      <c r="Q46" s="35">
        <f>1997254+1774896</f>
        <v>3772150</v>
      </c>
      <c r="R46" s="35">
        <v>1130195</v>
      </c>
      <c r="S46" s="103">
        <v>280000</v>
      </c>
      <c r="T46" s="103">
        <v>281070</v>
      </c>
      <c r="U46" s="103">
        <v>316025</v>
      </c>
      <c r="V46" s="103">
        <v>533100</v>
      </c>
      <c r="W46" s="162">
        <f>160995+96597+56000</f>
        <v>313592</v>
      </c>
      <c r="X46" s="162">
        <f>227527+136516+76000</f>
        <v>440043</v>
      </c>
      <c r="Y46" s="103">
        <f>149925+249875+57000</f>
        <v>456800</v>
      </c>
      <c r="Z46" s="103">
        <f>149925+249875+42951</f>
        <v>442751</v>
      </c>
      <c r="AA46" s="29" t="s">
        <v>79</v>
      </c>
      <c r="AE46" s="36" t="s">
        <v>184</v>
      </c>
      <c r="AG46" s="36" t="s">
        <v>79</v>
      </c>
      <c r="AH46" s="36" t="s">
        <v>79</v>
      </c>
      <c r="AI46" s="36"/>
      <c r="AJ46" s="36"/>
      <c r="AK46" s="36" t="s">
        <v>79</v>
      </c>
      <c r="AL46" s="36"/>
      <c r="AO46" s="36">
        <v>0</v>
      </c>
      <c r="AP46" s="36">
        <v>0</v>
      </c>
      <c r="AQ46" s="36"/>
      <c r="AR46" s="36"/>
      <c r="BM46" s="37"/>
    </row>
    <row r="47" spans="1:44" s="89" customFormat="1" ht="30">
      <c r="A47" s="89">
        <v>5</v>
      </c>
      <c r="B47" s="83">
        <v>21</v>
      </c>
      <c r="C47" s="83"/>
      <c r="D47" s="83"/>
      <c r="E47" s="84" t="s">
        <v>250</v>
      </c>
      <c r="F47" s="83" t="s">
        <v>135</v>
      </c>
      <c r="G47" s="90" t="s">
        <v>186</v>
      </c>
      <c r="H47" s="253"/>
      <c r="I47" s="256"/>
      <c r="J47" s="193" t="s">
        <v>263</v>
      </c>
      <c r="K47" s="194" t="s">
        <v>55</v>
      </c>
      <c r="L47" s="194"/>
      <c r="M47" s="183" t="s">
        <v>25</v>
      </c>
      <c r="N47" s="96"/>
      <c r="O47" s="97"/>
      <c r="P47" s="97"/>
      <c r="Q47" s="85"/>
      <c r="R47" s="86">
        <f>300000*3</f>
        <v>900000</v>
      </c>
      <c r="S47" s="85"/>
      <c r="U47" s="86"/>
      <c r="V47" s="86"/>
      <c r="W47" s="156"/>
      <c r="X47" s="156"/>
      <c r="Y47" s="86"/>
      <c r="Z47" s="86"/>
      <c r="AA47" s="85"/>
      <c r="AB47" s="85"/>
      <c r="AC47" s="85"/>
      <c r="AD47" s="85"/>
      <c r="AE47" s="87" t="s">
        <v>166</v>
      </c>
      <c r="AF47" s="87" t="s">
        <v>43</v>
      </c>
      <c r="AG47" s="88">
        <f>190000*3</f>
        <v>570000</v>
      </c>
      <c r="AH47" s="88"/>
      <c r="AI47" s="88"/>
      <c r="AJ47" s="88"/>
      <c r="AK47" s="88"/>
      <c r="AL47" s="88"/>
      <c r="AN47" s="85"/>
      <c r="AO47" s="87">
        <v>0</v>
      </c>
      <c r="AP47" s="87">
        <v>0</v>
      </c>
      <c r="AQ47" s="88"/>
      <c r="AR47" s="88"/>
    </row>
    <row r="48" spans="1:44" s="89" customFormat="1" ht="30">
      <c r="A48" s="89">
        <v>6</v>
      </c>
      <c r="B48" s="83">
        <v>24</v>
      </c>
      <c r="C48" s="83"/>
      <c r="D48" s="83"/>
      <c r="E48" s="84" t="s">
        <v>250</v>
      </c>
      <c r="F48" s="83" t="s">
        <v>91</v>
      </c>
      <c r="G48" s="90" t="s">
        <v>18</v>
      </c>
      <c r="H48" s="236"/>
      <c r="I48" s="256"/>
      <c r="J48" s="193" t="s">
        <v>204</v>
      </c>
      <c r="K48" s="194" t="s">
        <v>57</v>
      </c>
      <c r="L48" s="194"/>
      <c r="M48" s="183" t="s">
        <v>124</v>
      </c>
      <c r="N48" s="96"/>
      <c r="O48" s="97"/>
      <c r="P48" s="97"/>
      <c r="Q48" s="85"/>
      <c r="R48" s="86">
        <f>48758*1.1</f>
        <v>53633.8</v>
      </c>
      <c r="S48" s="85"/>
      <c r="U48" s="86"/>
      <c r="V48" s="86"/>
      <c r="W48" s="156"/>
      <c r="X48" s="156"/>
      <c r="Y48" s="86"/>
      <c r="Z48" s="86"/>
      <c r="AA48" s="85"/>
      <c r="AB48" s="85" t="s">
        <v>163</v>
      </c>
      <c r="AC48" s="85"/>
      <c r="AD48" s="85"/>
      <c r="AE48" s="87" t="s">
        <v>46</v>
      </c>
      <c r="AG48" s="88"/>
      <c r="AH48" s="88"/>
      <c r="AI48" s="88"/>
      <c r="AJ48" s="88"/>
      <c r="AK48" s="88"/>
      <c r="AL48" s="88"/>
      <c r="AN48" s="87" t="s">
        <v>46</v>
      </c>
      <c r="AO48" s="91">
        <f>48758*1.1</f>
        <v>53633.8</v>
      </c>
      <c r="AP48" s="92">
        <f>25000*1.1</f>
        <v>27500.000000000004</v>
      </c>
      <c r="AQ48" s="88" t="s">
        <v>56</v>
      </c>
      <c r="AR48" s="88" t="s">
        <v>167</v>
      </c>
    </row>
    <row r="49" spans="1:44" s="23" customFormat="1" ht="60.75" customHeight="1">
      <c r="A49" s="23">
        <v>1</v>
      </c>
      <c r="B49" s="19">
        <v>31</v>
      </c>
      <c r="C49" s="46">
        <v>2004</v>
      </c>
      <c r="D49" s="46">
        <v>2010</v>
      </c>
      <c r="E49" s="46" t="s">
        <v>152</v>
      </c>
      <c r="F49" s="19" t="s">
        <v>140</v>
      </c>
      <c r="G49" s="72" t="s">
        <v>141</v>
      </c>
      <c r="H49" s="245" t="s">
        <v>19</v>
      </c>
      <c r="I49" s="21"/>
      <c r="J49" s="82" t="s">
        <v>280</v>
      </c>
      <c r="K49" s="22" t="s">
        <v>554</v>
      </c>
      <c r="L49" s="124" t="s">
        <v>237</v>
      </c>
      <c r="M49" s="27" t="s">
        <v>574</v>
      </c>
      <c r="N49" s="27" t="s">
        <v>283</v>
      </c>
      <c r="O49" s="27" t="s">
        <v>270</v>
      </c>
      <c r="P49" s="53" t="s">
        <v>185</v>
      </c>
      <c r="Q49" s="272">
        <f>21650/1.196</f>
        <v>18102.00668896321</v>
      </c>
      <c r="R49" s="272">
        <f>Q49</f>
        <v>18102.00668896321</v>
      </c>
      <c r="S49" s="28">
        <f>R49</f>
        <v>18102.00668896321</v>
      </c>
      <c r="U49" s="28"/>
      <c r="V49" s="28"/>
      <c r="W49" s="154"/>
      <c r="X49" s="154"/>
      <c r="Y49" s="28"/>
      <c r="Z49" s="28"/>
      <c r="AA49" s="27"/>
      <c r="AB49" s="27" t="s">
        <v>163</v>
      </c>
      <c r="AC49" s="27"/>
      <c r="AD49" s="27"/>
      <c r="AE49" s="51" t="s">
        <v>114</v>
      </c>
      <c r="AF49" s="51" t="s">
        <v>49</v>
      </c>
      <c r="AG49" s="50"/>
      <c r="AH49" s="53" t="s">
        <v>82</v>
      </c>
      <c r="AI49" s="69"/>
      <c r="AJ49" s="69"/>
      <c r="AK49" s="69"/>
      <c r="AL49" s="69"/>
      <c r="AM49" s="51" t="s">
        <v>48</v>
      </c>
      <c r="AO49" s="50">
        <f>8000*1.1</f>
        <v>8800</v>
      </c>
      <c r="AP49" s="50">
        <f>8000*1.1</f>
        <v>8800</v>
      </c>
      <c r="AQ49" s="69"/>
      <c r="AR49" s="50">
        <v>4330</v>
      </c>
    </row>
    <row r="50" spans="1:72" s="23" customFormat="1" ht="75">
      <c r="A50" s="23">
        <v>2</v>
      </c>
      <c r="B50" s="19">
        <v>13</v>
      </c>
      <c r="C50" s="46">
        <v>2003</v>
      </c>
      <c r="D50" s="46">
        <v>2006</v>
      </c>
      <c r="E50" s="46" t="s">
        <v>152</v>
      </c>
      <c r="F50" s="19" t="s">
        <v>89</v>
      </c>
      <c r="G50" s="72" t="s">
        <v>142</v>
      </c>
      <c r="H50" s="245"/>
      <c r="I50" s="25"/>
      <c r="J50" s="124" t="s">
        <v>216</v>
      </c>
      <c r="K50" s="22" t="s">
        <v>555</v>
      </c>
      <c r="L50" s="22"/>
      <c r="M50" s="27" t="s">
        <v>24</v>
      </c>
      <c r="N50" s="27" t="s">
        <v>283</v>
      </c>
      <c r="O50" s="27" t="s">
        <v>470</v>
      </c>
      <c r="P50" s="53" t="s">
        <v>185</v>
      </c>
      <c r="Q50" s="27"/>
      <c r="R50" s="28">
        <v>200000</v>
      </c>
      <c r="S50" s="51">
        <v>32637</v>
      </c>
      <c r="U50" s="28"/>
      <c r="V50" s="28"/>
      <c r="W50" s="154"/>
      <c r="X50" s="154"/>
      <c r="Y50" s="28"/>
      <c r="Z50" s="28"/>
      <c r="AA50" s="27"/>
      <c r="AB50" s="27"/>
      <c r="AC50" s="27"/>
      <c r="AD50" s="27"/>
      <c r="AE50" s="51" t="s">
        <v>164</v>
      </c>
      <c r="AF50" s="51" t="s">
        <v>51</v>
      </c>
      <c r="AG50" s="53"/>
      <c r="AH50" s="53">
        <f>32321+18065</f>
        <v>50386</v>
      </c>
      <c r="AI50" s="69">
        <v>26789</v>
      </c>
      <c r="AJ50" s="69"/>
      <c r="AK50" s="50"/>
      <c r="AL50" s="50"/>
      <c r="AM50" s="74" t="s">
        <v>53</v>
      </c>
      <c r="AN50" s="51"/>
      <c r="AO50" s="53">
        <v>0</v>
      </c>
      <c r="AP50" s="53">
        <v>0</v>
      </c>
      <c r="AQ50" s="50" t="s">
        <v>84</v>
      </c>
      <c r="AR50" s="50">
        <v>2825</v>
      </c>
      <c r="BM50" s="54"/>
      <c r="BO50" s="54"/>
      <c r="BP50" s="54"/>
      <c r="BQ50" s="54"/>
      <c r="BS50" s="54"/>
      <c r="BT50" s="54"/>
    </row>
    <row r="51" spans="1:44" s="23" customFormat="1" ht="23.25">
      <c r="A51" s="23">
        <v>10</v>
      </c>
      <c r="B51" s="19">
        <v>35</v>
      </c>
      <c r="C51" s="19"/>
      <c r="D51" s="19"/>
      <c r="E51" s="46" t="s">
        <v>152</v>
      </c>
      <c r="F51" s="19" t="s">
        <v>161</v>
      </c>
      <c r="G51" s="47" t="s">
        <v>64</v>
      </c>
      <c r="H51" s="245"/>
      <c r="I51" s="82"/>
      <c r="J51" s="195" t="s">
        <v>216</v>
      </c>
      <c r="K51" s="196" t="s">
        <v>60</v>
      </c>
      <c r="L51" s="53" t="s">
        <v>263</v>
      </c>
      <c r="M51" s="184" t="s">
        <v>12</v>
      </c>
      <c r="N51" s="47"/>
      <c r="O51" s="61"/>
      <c r="P51" s="53" t="s">
        <v>185</v>
      </c>
      <c r="Q51" s="53">
        <v>178722</v>
      </c>
      <c r="R51" s="53">
        <v>132342</v>
      </c>
      <c r="S51" s="51">
        <v>8740</v>
      </c>
      <c r="T51" s="28">
        <v>8740</v>
      </c>
      <c r="U51" s="28"/>
      <c r="V51" s="28"/>
      <c r="W51" s="154"/>
      <c r="X51" s="154"/>
      <c r="Y51" s="28"/>
      <c r="Z51" s="28"/>
      <c r="AA51" s="27"/>
      <c r="AB51" s="27"/>
      <c r="AC51" s="27"/>
      <c r="AD51" s="27"/>
      <c r="AE51" s="51" t="s">
        <v>65</v>
      </c>
      <c r="AG51" s="50"/>
      <c r="AH51" s="50"/>
      <c r="AI51" s="50"/>
      <c r="AJ51" s="50"/>
      <c r="AK51" s="50">
        <f>8740*2</f>
        <v>17480</v>
      </c>
      <c r="AL51" s="50"/>
      <c r="AN51" s="51"/>
      <c r="AO51" s="61"/>
      <c r="AP51" s="61"/>
      <c r="AQ51" s="53"/>
      <c r="AR51" s="50"/>
    </row>
    <row r="52" spans="1:44" s="23" customFormat="1" ht="36">
      <c r="A52" s="23">
        <v>11</v>
      </c>
      <c r="B52" s="19">
        <v>36</v>
      </c>
      <c r="C52" s="46">
        <v>2006</v>
      </c>
      <c r="D52" s="46">
        <v>2010</v>
      </c>
      <c r="E52" s="46" t="s">
        <v>152</v>
      </c>
      <c r="F52" s="19" t="s">
        <v>13</v>
      </c>
      <c r="G52" s="47" t="s">
        <v>63</v>
      </c>
      <c r="H52" s="245"/>
      <c r="I52" s="82"/>
      <c r="J52" s="195" t="s">
        <v>238</v>
      </c>
      <c r="K52" s="196" t="s">
        <v>556</v>
      </c>
      <c r="L52" s="53" t="s">
        <v>252</v>
      </c>
      <c r="M52" s="224" t="s">
        <v>69</v>
      </c>
      <c r="N52" s="189" t="s">
        <v>253</v>
      </c>
      <c r="O52" s="46" t="s">
        <v>245</v>
      </c>
      <c r="P52" s="46" t="s">
        <v>185</v>
      </c>
      <c r="Q52" s="46">
        <v>200000</v>
      </c>
      <c r="R52" s="46">
        <v>143520</v>
      </c>
      <c r="S52" s="46">
        <v>47840</v>
      </c>
      <c r="T52" s="46">
        <v>47840</v>
      </c>
      <c r="U52" s="225">
        <v>23920</v>
      </c>
      <c r="V52" s="225">
        <v>23920</v>
      </c>
      <c r="W52" s="226"/>
      <c r="X52" s="226"/>
      <c r="Y52" s="225"/>
      <c r="Z52" s="225"/>
      <c r="AA52" s="53">
        <v>143520</v>
      </c>
      <c r="AB52" s="27"/>
      <c r="AC52" s="27"/>
      <c r="AD52" s="27"/>
      <c r="AE52" s="51" t="s">
        <v>66</v>
      </c>
      <c r="AG52" s="50"/>
      <c r="AH52" s="50"/>
      <c r="AI52" s="50"/>
      <c r="AJ52" s="50"/>
      <c r="AK52" s="50"/>
      <c r="AL52" s="50"/>
      <c r="AN52" s="51"/>
      <c r="AO52" s="61"/>
      <c r="AP52" s="61"/>
      <c r="AQ52" s="53"/>
      <c r="AR52" s="50"/>
    </row>
    <row r="53" spans="1:44" s="27" customFormat="1" ht="63.75" customHeight="1">
      <c r="A53" s="27">
        <v>17</v>
      </c>
      <c r="B53" s="19">
        <v>20</v>
      </c>
      <c r="C53" s="46">
        <v>2003</v>
      </c>
      <c r="D53" s="46">
        <v>2006</v>
      </c>
      <c r="E53" s="46" t="s">
        <v>152</v>
      </c>
      <c r="F53" s="19" t="s">
        <v>94</v>
      </c>
      <c r="G53" s="20" t="s">
        <v>187</v>
      </c>
      <c r="H53" s="246" t="s">
        <v>36</v>
      </c>
      <c r="I53" s="21"/>
      <c r="J53" s="195" t="s">
        <v>216</v>
      </c>
      <c r="K53" s="196" t="s">
        <v>544</v>
      </c>
      <c r="L53" s="196"/>
      <c r="M53" s="184" t="s">
        <v>171</v>
      </c>
      <c r="N53" s="184" t="s">
        <v>359</v>
      </c>
      <c r="O53" s="53" t="s">
        <v>472</v>
      </c>
      <c r="P53" s="61"/>
      <c r="R53" s="28">
        <v>391254</v>
      </c>
      <c r="U53" s="28"/>
      <c r="V53" s="28"/>
      <c r="W53" s="154"/>
      <c r="X53" s="154"/>
      <c r="Y53" s="28"/>
      <c r="Z53" s="28"/>
      <c r="AE53" s="53" t="s">
        <v>176</v>
      </c>
      <c r="AF53" s="51" t="s">
        <v>86</v>
      </c>
      <c r="AG53" s="61"/>
      <c r="AH53" s="53" t="s">
        <v>87</v>
      </c>
      <c r="AI53" s="61"/>
      <c r="AJ53" s="61"/>
      <c r="AK53" s="53">
        <v>8500</v>
      </c>
      <c r="AL53" s="61"/>
      <c r="AO53" s="61">
        <v>0</v>
      </c>
      <c r="AP53" s="61">
        <v>0</v>
      </c>
      <c r="AQ53" s="53" t="s">
        <v>88</v>
      </c>
      <c r="AR53" s="53">
        <v>90993</v>
      </c>
    </row>
    <row r="54" spans="1:71" s="23" customFormat="1" ht="46.5">
      <c r="A54" s="23">
        <v>18</v>
      </c>
      <c r="B54" s="19" t="s">
        <v>505</v>
      </c>
      <c r="C54" s="46">
        <v>2006</v>
      </c>
      <c r="D54" s="46">
        <v>2007</v>
      </c>
      <c r="E54" s="46" t="s">
        <v>152</v>
      </c>
      <c r="F54" s="19" t="s">
        <v>506</v>
      </c>
      <c r="G54" s="47" t="s">
        <v>68</v>
      </c>
      <c r="H54" s="246"/>
      <c r="I54" s="73"/>
      <c r="J54" s="184" t="s">
        <v>223</v>
      </c>
      <c r="K54" s="196" t="s">
        <v>552</v>
      </c>
      <c r="L54" s="53" t="s">
        <v>261</v>
      </c>
      <c r="M54" s="184" t="s">
        <v>69</v>
      </c>
      <c r="N54" s="184" t="s">
        <v>206</v>
      </c>
      <c r="O54" s="53" t="s">
        <v>262</v>
      </c>
      <c r="P54" s="53" t="s">
        <v>185</v>
      </c>
      <c r="Q54" s="51">
        <v>30000</v>
      </c>
      <c r="R54" s="51">
        <v>17940</v>
      </c>
      <c r="S54" s="27"/>
      <c r="T54" s="48">
        <v>17940</v>
      </c>
      <c r="U54" s="48"/>
      <c r="V54" s="48"/>
      <c r="W54" s="166"/>
      <c r="X54" s="166"/>
      <c r="Y54" s="48"/>
      <c r="Z54" s="48"/>
      <c r="AA54" s="24">
        <v>17940</v>
      </c>
      <c r="AB54" s="27"/>
      <c r="AC54" s="27"/>
      <c r="AD54" s="27"/>
      <c r="AE54" s="49" t="s">
        <v>70</v>
      </c>
      <c r="AG54" s="50"/>
      <c r="AI54" s="50"/>
      <c r="AJ54" s="50"/>
      <c r="AK54" s="50"/>
      <c r="AL54" s="50"/>
      <c r="AO54" s="51"/>
      <c r="AP54" s="52"/>
      <c r="AQ54" s="53"/>
      <c r="AR54" s="53"/>
      <c r="BS54" s="54"/>
    </row>
    <row r="55" spans="1:71" s="23" customFormat="1" ht="36">
      <c r="A55" s="23">
        <v>19</v>
      </c>
      <c r="B55" s="19">
        <v>22</v>
      </c>
      <c r="C55" s="46">
        <v>2003</v>
      </c>
      <c r="D55" s="46">
        <v>2005</v>
      </c>
      <c r="E55" s="46" t="s">
        <v>152</v>
      </c>
      <c r="F55" s="19" t="s">
        <v>137</v>
      </c>
      <c r="G55" s="20" t="s">
        <v>188</v>
      </c>
      <c r="H55" s="246"/>
      <c r="I55" s="25"/>
      <c r="J55" s="225" t="s">
        <v>216</v>
      </c>
      <c r="K55" s="196" t="s">
        <v>557</v>
      </c>
      <c r="L55" s="196"/>
      <c r="M55" s="184" t="s">
        <v>575</v>
      </c>
      <c r="N55" s="184" t="s">
        <v>359</v>
      </c>
      <c r="O55" s="53" t="s">
        <v>471</v>
      </c>
      <c r="P55" s="61"/>
      <c r="Q55" s="27"/>
      <c r="R55" s="24">
        <v>23220</v>
      </c>
      <c r="S55" s="27"/>
      <c r="U55" s="24"/>
      <c r="V55" s="24"/>
      <c r="W55" s="159"/>
      <c r="X55" s="159"/>
      <c r="Y55" s="24"/>
      <c r="Z55" s="24"/>
      <c r="AA55" s="27"/>
      <c r="AB55" s="27"/>
      <c r="AC55" s="27"/>
      <c r="AD55" s="27"/>
      <c r="AE55" s="69" t="s">
        <v>177</v>
      </c>
      <c r="AF55" s="23">
        <v>15000</v>
      </c>
      <c r="AG55" s="50"/>
      <c r="AH55" s="50" t="s">
        <v>61</v>
      </c>
      <c r="AI55" s="50"/>
      <c r="AJ55" s="50"/>
      <c r="AK55" s="50"/>
      <c r="AL55" s="50"/>
      <c r="AO55" s="50">
        <v>0</v>
      </c>
      <c r="AP55" s="50">
        <v>0</v>
      </c>
      <c r="AQ55" s="50" t="s">
        <v>76</v>
      </c>
      <c r="AR55" s="50"/>
      <c r="BS55" s="54"/>
    </row>
    <row r="56" spans="1:71" s="23" customFormat="1" ht="23.25">
      <c r="A56" s="23">
        <v>20</v>
      </c>
      <c r="B56" s="19">
        <v>11</v>
      </c>
      <c r="C56" s="46">
        <v>2002</v>
      </c>
      <c r="D56" s="46">
        <v>2006</v>
      </c>
      <c r="E56" s="46" t="s">
        <v>152</v>
      </c>
      <c r="F56" s="19" t="s">
        <v>95</v>
      </c>
      <c r="G56" s="47" t="s">
        <v>143</v>
      </c>
      <c r="H56" s="246"/>
      <c r="I56" s="25"/>
      <c r="J56" s="225" t="s">
        <v>274</v>
      </c>
      <c r="K56" s="196" t="s">
        <v>558</v>
      </c>
      <c r="L56" s="196"/>
      <c r="M56" s="184" t="s">
        <v>157</v>
      </c>
      <c r="N56" s="184" t="s">
        <v>359</v>
      </c>
      <c r="O56" s="53" t="s">
        <v>245</v>
      </c>
      <c r="P56" s="61"/>
      <c r="Q56" s="27"/>
      <c r="R56" s="27"/>
      <c r="S56" s="27"/>
      <c r="T56" s="24"/>
      <c r="U56" s="24"/>
      <c r="V56" s="24"/>
      <c r="W56" s="159"/>
      <c r="X56" s="159"/>
      <c r="Y56" s="24"/>
      <c r="Z56" s="24"/>
      <c r="AA56" s="27"/>
      <c r="AB56" s="27"/>
      <c r="AC56" s="27"/>
      <c r="AD56" s="27"/>
      <c r="AE56" s="50" t="s">
        <v>178</v>
      </c>
      <c r="AG56" s="50"/>
      <c r="AH56" s="50" t="s">
        <v>50</v>
      </c>
      <c r="AI56" s="50"/>
      <c r="AJ56" s="50"/>
      <c r="AK56" s="50"/>
      <c r="AL56" s="50"/>
      <c r="AO56" s="50">
        <v>0</v>
      </c>
      <c r="AP56" s="50">
        <v>0</v>
      </c>
      <c r="AQ56" s="50"/>
      <c r="AR56" s="50" t="s">
        <v>77</v>
      </c>
      <c r="BS56" s="54"/>
    </row>
    <row r="57" spans="1:71" s="23" customFormat="1" ht="30">
      <c r="A57" s="23">
        <v>21</v>
      </c>
      <c r="B57" s="19">
        <v>7</v>
      </c>
      <c r="C57" s="46">
        <v>2002</v>
      </c>
      <c r="D57" s="46">
        <v>2006</v>
      </c>
      <c r="E57" s="46" t="s">
        <v>152</v>
      </c>
      <c r="F57" s="19" t="s">
        <v>96</v>
      </c>
      <c r="G57" s="20" t="s">
        <v>144</v>
      </c>
      <c r="H57" s="246"/>
      <c r="I57" s="25"/>
      <c r="J57" s="225" t="s">
        <v>331</v>
      </c>
      <c r="K57" s="196" t="s">
        <v>559</v>
      </c>
      <c r="L57" s="196"/>
      <c r="M57" s="184" t="s">
        <v>28</v>
      </c>
      <c r="N57" s="184" t="s">
        <v>359</v>
      </c>
      <c r="O57" s="53" t="s">
        <v>385</v>
      </c>
      <c r="P57" s="61"/>
      <c r="Q57" s="27"/>
      <c r="R57" s="46">
        <v>30105</v>
      </c>
      <c r="S57" s="27"/>
      <c r="U57" s="24"/>
      <c r="V57" s="24"/>
      <c r="W57" s="159"/>
      <c r="X57" s="159"/>
      <c r="Y57" s="24"/>
      <c r="Z57" s="24"/>
      <c r="AA57" s="27"/>
      <c r="AB57" s="27"/>
      <c r="AC57" s="27"/>
      <c r="AD57" s="27"/>
      <c r="AE57" s="50" t="s">
        <v>179</v>
      </c>
      <c r="AF57" s="23" t="s">
        <v>73</v>
      </c>
      <c r="AG57" s="50"/>
      <c r="AH57" s="50" t="s">
        <v>61</v>
      </c>
      <c r="AI57" s="50"/>
      <c r="AJ57" s="50"/>
      <c r="AK57" s="50"/>
      <c r="AL57" s="50"/>
      <c r="AO57" s="50">
        <v>0</v>
      </c>
      <c r="AP57" s="50">
        <v>0</v>
      </c>
      <c r="AQ57" s="50" t="s">
        <v>74</v>
      </c>
      <c r="AR57" s="50"/>
      <c r="BS57" s="54"/>
    </row>
    <row r="58" spans="1:44" s="23" customFormat="1" ht="36">
      <c r="A58" s="23">
        <v>22</v>
      </c>
      <c r="B58" s="19">
        <v>10</v>
      </c>
      <c r="C58" s="46">
        <v>2003</v>
      </c>
      <c r="D58" s="46">
        <v>2005</v>
      </c>
      <c r="E58" s="46" t="s">
        <v>152</v>
      </c>
      <c r="F58" s="19" t="s">
        <v>97</v>
      </c>
      <c r="G58" s="47" t="s">
        <v>180</v>
      </c>
      <c r="H58" s="246"/>
      <c r="I58" s="25"/>
      <c r="J58" s="225" t="s">
        <v>263</v>
      </c>
      <c r="K58" s="196" t="s">
        <v>560</v>
      </c>
      <c r="L58" s="196"/>
      <c r="M58" s="184" t="s">
        <v>41</v>
      </c>
      <c r="N58" s="184" t="s">
        <v>473</v>
      </c>
      <c r="O58" s="53" t="s">
        <v>245</v>
      </c>
      <c r="P58" s="50"/>
      <c r="R58" s="46">
        <v>25000</v>
      </c>
      <c r="U58" s="24"/>
      <c r="V58" s="24"/>
      <c r="W58" s="159"/>
      <c r="X58" s="159"/>
      <c r="Y58" s="24"/>
      <c r="Z58" s="24"/>
      <c r="AE58" s="50" t="s">
        <v>181</v>
      </c>
      <c r="AF58" s="23" t="s">
        <v>155</v>
      </c>
      <c r="AG58" s="50"/>
      <c r="AH58" s="50"/>
      <c r="AI58" s="50"/>
      <c r="AJ58" s="50"/>
      <c r="AK58" s="50"/>
      <c r="AL58" s="50"/>
      <c r="AO58" s="50">
        <v>0</v>
      </c>
      <c r="AP58" s="50">
        <v>0</v>
      </c>
      <c r="AQ58" s="50"/>
      <c r="AR58" s="50"/>
    </row>
    <row r="59" spans="1:44" s="23" customFormat="1" ht="45">
      <c r="A59" s="23">
        <v>23</v>
      </c>
      <c r="B59" s="19">
        <v>19</v>
      </c>
      <c r="C59" s="46">
        <v>2003</v>
      </c>
      <c r="D59" s="46">
        <v>2006</v>
      </c>
      <c r="E59" s="46" t="s">
        <v>152</v>
      </c>
      <c r="F59" s="19" t="s">
        <v>98</v>
      </c>
      <c r="G59" s="20" t="s">
        <v>145</v>
      </c>
      <c r="H59" s="246"/>
      <c r="I59" s="25"/>
      <c r="J59" s="225" t="s">
        <v>263</v>
      </c>
      <c r="K59" s="196" t="s">
        <v>561</v>
      </c>
      <c r="L59" s="196"/>
      <c r="M59" s="184" t="s">
        <v>29</v>
      </c>
      <c r="N59" s="184" t="s">
        <v>406</v>
      </c>
      <c r="O59" s="53" t="s">
        <v>262</v>
      </c>
      <c r="P59" s="61"/>
      <c r="Q59" s="27"/>
      <c r="R59" s="46">
        <v>590000</v>
      </c>
      <c r="S59" s="27"/>
      <c r="U59" s="24"/>
      <c r="V59" s="24"/>
      <c r="W59" s="159"/>
      <c r="X59" s="159"/>
      <c r="Y59" s="24"/>
      <c r="Z59" s="24"/>
      <c r="AA59" s="27"/>
      <c r="AB59" s="27"/>
      <c r="AC59" s="27"/>
      <c r="AD59" s="27"/>
      <c r="AE59" s="69" t="s">
        <v>182</v>
      </c>
      <c r="AF59" s="23" t="s">
        <v>125</v>
      </c>
      <c r="AG59" s="50"/>
      <c r="AH59" s="50" t="s">
        <v>126</v>
      </c>
      <c r="AI59" s="50"/>
      <c r="AJ59" s="50"/>
      <c r="AK59" s="50"/>
      <c r="AL59" s="50"/>
      <c r="AM59" s="23" t="s">
        <v>127</v>
      </c>
      <c r="AO59" s="50">
        <v>0</v>
      </c>
      <c r="AP59" s="50">
        <v>0</v>
      </c>
      <c r="AQ59" s="50"/>
      <c r="AR59" s="50" t="s">
        <v>128</v>
      </c>
    </row>
    <row r="60" spans="1:44" s="23" customFormat="1" ht="36">
      <c r="A60" s="23">
        <v>29</v>
      </c>
      <c r="E60" s="53" t="s">
        <v>152</v>
      </c>
      <c r="F60" s="117" t="s">
        <v>325</v>
      </c>
      <c r="G60" s="20" t="s">
        <v>288</v>
      </c>
      <c r="H60" s="246"/>
      <c r="J60" s="23" t="s">
        <v>263</v>
      </c>
      <c r="K60" s="196" t="s">
        <v>561</v>
      </c>
      <c r="L60" s="195" t="s">
        <v>304</v>
      </c>
      <c r="M60" s="188" t="s">
        <v>286</v>
      </c>
      <c r="N60" s="227" t="s">
        <v>406</v>
      </c>
      <c r="O60" s="113" t="s">
        <v>242</v>
      </c>
      <c r="P60" s="50"/>
      <c r="Q60" s="228"/>
      <c r="S60" s="229">
        <v>25000</v>
      </c>
      <c r="T60" s="229">
        <v>50000</v>
      </c>
      <c r="U60" s="230">
        <v>15000</v>
      </c>
      <c r="W60" s="168"/>
      <c r="X60" s="168"/>
      <c r="AB60" s="27"/>
      <c r="AC60" s="27"/>
      <c r="AD60" s="27"/>
      <c r="AE60" s="69"/>
      <c r="AG60" s="50"/>
      <c r="AH60" s="50"/>
      <c r="AI60" s="50"/>
      <c r="AJ60" s="50"/>
      <c r="AK60" s="50"/>
      <c r="AL60" s="50"/>
      <c r="AO60" s="50"/>
      <c r="AP60" s="50"/>
      <c r="AQ60" s="50"/>
      <c r="AR60" s="50"/>
    </row>
    <row r="61" spans="1:44" s="23" customFormat="1" ht="36">
      <c r="A61" s="23">
        <v>30</v>
      </c>
      <c r="E61" s="53" t="s">
        <v>152</v>
      </c>
      <c r="F61" s="117" t="s">
        <v>325</v>
      </c>
      <c r="G61" s="20" t="s">
        <v>289</v>
      </c>
      <c r="H61" s="246"/>
      <c r="J61" s="23" t="s">
        <v>263</v>
      </c>
      <c r="K61" s="196" t="s">
        <v>561</v>
      </c>
      <c r="L61" s="195" t="s">
        <v>305</v>
      </c>
      <c r="M61" s="188" t="s">
        <v>286</v>
      </c>
      <c r="N61" s="227" t="s">
        <v>406</v>
      </c>
      <c r="O61" s="113" t="s">
        <v>242</v>
      </c>
      <c r="P61" s="50"/>
      <c r="Q61" s="112"/>
      <c r="T61" s="229">
        <v>18500</v>
      </c>
      <c r="U61" s="127"/>
      <c r="W61" s="168"/>
      <c r="X61" s="168"/>
      <c r="AB61" s="27"/>
      <c r="AC61" s="27"/>
      <c r="AD61" s="27"/>
      <c r="AE61" s="69"/>
      <c r="AG61" s="50"/>
      <c r="AH61" s="50"/>
      <c r="AI61" s="50"/>
      <c r="AJ61" s="50"/>
      <c r="AK61" s="50"/>
      <c r="AL61" s="50"/>
      <c r="AO61" s="50"/>
      <c r="AP61" s="50"/>
      <c r="AQ61" s="50"/>
      <c r="AR61" s="50"/>
    </row>
    <row r="62" spans="1:44" s="23" customFormat="1" ht="30">
      <c r="A62" s="23">
        <v>35</v>
      </c>
      <c r="E62" s="53" t="s">
        <v>152</v>
      </c>
      <c r="F62" s="117" t="s">
        <v>325</v>
      </c>
      <c r="G62" s="20" t="s">
        <v>290</v>
      </c>
      <c r="H62" s="246"/>
      <c r="J62" s="177" t="s">
        <v>263</v>
      </c>
      <c r="L62" s="195" t="s">
        <v>306</v>
      </c>
      <c r="M62" s="188"/>
      <c r="N62" s="227" t="s">
        <v>286</v>
      </c>
      <c r="O62" s="113" t="s">
        <v>249</v>
      </c>
      <c r="P62" s="50"/>
      <c r="Q62" s="112"/>
      <c r="T62" s="229">
        <v>5000</v>
      </c>
      <c r="U62" s="230">
        <v>5000</v>
      </c>
      <c r="W62" s="168"/>
      <c r="X62" s="168"/>
      <c r="AB62" s="27"/>
      <c r="AC62" s="27"/>
      <c r="AD62" s="27"/>
      <c r="AE62" s="69"/>
      <c r="AG62" s="50"/>
      <c r="AH62" s="50"/>
      <c r="AI62" s="50"/>
      <c r="AJ62" s="50"/>
      <c r="AK62" s="50"/>
      <c r="AL62" s="50"/>
      <c r="AO62" s="50"/>
      <c r="AP62" s="50"/>
      <c r="AQ62" s="50"/>
      <c r="AR62" s="50"/>
    </row>
    <row r="63" spans="1:44" s="23" customFormat="1" ht="30">
      <c r="A63" s="23">
        <v>37</v>
      </c>
      <c r="E63" s="53" t="s">
        <v>152</v>
      </c>
      <c r="F63" s="117" t="s">
        <v>325</v>
      </c>
      <c r="G63" s="20" t="s">
        <v>292</v>
      </c>
      <c r="H63" s="246"/>
      <c r="J63" s="177" t="s">
        <v>204</v>
      </c>
      <c r="L63" s="195" t="s">
        <v>303</v>
      </c>
      <c r="M63" s="188"/>
      <c r="N63" s="227" t="s">
        <v>317</v>
      </c>
      <c r="O63" s="113" t="s">
        <v>245</v>
      </c>
      <c r="P63" s="50"/>
      <c r="Q63" s="112"/>
      <c r="T63" s="126"/>
      <c r="U63" s="230">
        <v>30491</v>
      </c>
      <c r="W63" s="168"/>
      <c r="X63" s="168"/>
      <c r="AB63" s="27"/>
      <c r="AC63" s="27"/>
      <c r="AD63" s="27"/>
      <c r="AE63" s="69"/>
      <c r="AG63" s="50"/>
      <c r="AH63" s="50"/>
      <c r="AI63" s="50"/>
      <c r="AJ63" s="50"/>
      <c r="AK63" s="50"/>
      <c r="AL63" s="50"/>
      <c r="AO63" s="50"/>
      <c r="AP63" s="50"/>
      <c r="AQ63" s="50"/>
      <c r="AR63" s="50"/>
    </row>
    <row r="64" spans="1:44" s="23" customFormat="1" ht="36">
      <c r="A64" s="23">
        <v>38</v>
      </c>
      <c r="E64" s="53" t="s">
        <v>152</v>
      </c>
      <c r="F64" s="117" t="s">
        <v>325</v>
      </c>
      <c r="G64" s="20" t="s">
        <v>293</v>
      </c>
      <c r="H64" s="246"/>
      <c r="J64" s="177" t="s">
        <v>216</v>
      </c>
      <c r="K64" s="196" t="s">
        <v>557</v>
      </c>
      <c r="L64" s="195" t="s">
        <v>296</v>
      </c>
      <c r="M64" s="188" t="s">
        <v>358</v>
      </c>
      <c r="N64" s="231" t="s">
        <v>359</v>
      </c>
      <c r="O64" s="50" t="s">
        <v>245</v>
      </c>
      <c r="P64" s="50" t="s">
        <v>185</v>
      </c>
      <c r="Q64" s="112">
        <f>33900+29850+30576</f>
        <v>94326</v>
      </c>
      <c r="R64" s="23">
        <f>17120+23880+24461</f>
        <v>65461</v>
      </c>
      <c r="S64" s="23">
        <v>24461</v>
      </c>
      <c r="T64" s="126">
        <v>27120</v>
      </c>
      <c r="U64" s="127">
        <v>23880</v>
      </c>
      <c r="V64" s="127">
        <v>24461</v>
      </c>
      <c r="W64" s="168"/>
      <c r="X64" s="168"/>
      <c r="AB64" s="27"/>
      <c r="AC64" s="27"/>
      <c r="AD64" s="27"/>
      <c r="AE64" s="69"/>
      <c r="AG64" s="50"/>
      <c r="AH64" s="50"/>
      <c r="AI64" s="50"/>
      <c r="AJ64" s="50"/>
      <c r="AK64" s="50"/>
      <c r="AL64" s="50"/>
      <c r="AO64" s="50"/>
      <c r="AP64" s="50"/>
      <c r="AQ64" s="50"/>
      <c r="AR64" s="50"/>
    </row>
    <row r="65" spans="1:44" s="23" customFormat="1" ht="36">
      <c r="A65" s="23">
        <v>39</v>
      </c>
      <c r="E65" s="53" t="s">
        <v>152</v>
      </c>
      <c r="F65" s="117" t="s">
        <v>325</v>
      </c>
      <c r="G65" s="20" t="s">
        <v>295</v>
      </c>
      <c r="H65" s="246"/>
      <c r="J65" s="232" t="s">
        <v>204</v>
      </c>
      <c r="K65" s="284" t="s">
        <v>562</v>
      </c>
      <c r="L65" s="233" t="s">
        <v>204</v>
      </c>
      <c r="M65" s="188"/>
      <c r="N65" s="227" t="s">
        <v>209</v>
      </c>
      <c r="O65" s="113" t="s">
        <v>245</v>
      </c>
      <c r="P65" s="50"/>
      <c r="Q65" s="112"/>
      <c r="T65" s="130">
        <f>Q65/3</f>
        <v>0</v>
      </c>
      <c r="U65" s="142">
        <f>Q65/3</f>
        <v>0</v>
      </c>
      <c r="W65" s="168"/>
      <c r="X65" s="168"/>
      <c r="AB65" s="27"/>
      <c r="AC65" s="27"/>
      <c r="AD65" s="27"/>
      <c r="AE65" s="69"/>
      <c r="AG65" s="50"/>
      <c r="AH65" s="50"/>
      <c r="AI65" s="50"/>
      <c r="AJ65" s="50"/>
      <c r="AK65" s="50"/>
      <c r="AL65" s="50"/>
      <c r="AO65" s="50"/>
      <c r="AP65" s="50"/>
      <c r="AQ65" s="50"/>
      <c r="AR65" s="50"/>
    </row>
    <row r="66" spans="1:41" s="23" customFormat="1" ht="30">
      <c r="A66" s="23">
        <v>40</v>
      </c>
      <c r="B66" s="51" t="s">
        <v>151</v>
      </c>
      <c r="E66" s="50" t="s">
        <v>152</v>
      </c>
      <c r="F66" s="117" t="s">
        <v>325</v>
      </c>
      <c r="G66" s="20" t="s">
        <v>297</v>
      </c>
      <c r="H66" s="246"/>
      <c r="J66" s="198" t="s">
        <v>303</v>
      </c>
      <c r="L66" s="195" t="s">
        <v>323</v>
      </c>
      <c r="M66" s="188"/>
      <c r="N66" s="177"/>
      <c r="O66" s="50" t="s">
        <v>262</v>
      </c>
      <c r="P66" s="113"/>
      <c r="Q66" s="126"/>
      <c r="R66" s="127"/>
      <c r="S66" s="112"/>
      <c r="U66" s="112">
        <v>65000</v>
      </c>
      <c r="W66" s="163"/>
      <c r="X66" s="163"/>
      <c r="Y66" s="112"/>
      <c r="Z66" s="112"/>
      <c r="AA66" s="50"/>
      <c r="AB66" s="50"/>
      <c r="AC66" s="50"/>
      <c r="AD66" s="50"/>
      <c r="AE66" s="50"/>
      <c r="AF66" s="50"/>
      <c r="AG66" s="50"/>
      <c r="AH66" s="50"/>
      <c r="AL66" s="50"/>
      <c r="AM66" s="50"/>
      <c r="AN66" s="50"/>
      <c r="AO66" s="50"/>
    </row>
    <row r="67" spans="1:41" s="23" customFormat="1" ht="30">
      <c r="A67" s="23">
        <v>41</v>
      </c>
      <c r="B67" s="51"/>
      <c r="E67" s="50" t="s">
        <v>152</v>
      </c>
      <c r="F67" s="117" t="s">
        <v>325</v>
      </c>
      <c r="G67" s="20" t="s">
        <v>347</v>
      </c>
      <c r="H67" s="246"/>
      <c r="J67" s="198" t="s">
        <v>348</v>
      </c>
      <c r="K67" s="196" t="s">
        <v>551</v>
      </c>
      <c r="L67" s="195" t="s">
        <v>263</v>
      </c>
      <c r="M67" s="188" t="s">
        <v>350</v>
      </c>
      <c r="N67" s="177" t="s">
        <v>349</v>
      </c>
      <c r="O67" s="50"/>
      <c r="P67" s="113" t="s">
        <v>185</v>
      </c>
      <c r="Q67" s="126"/>
      <c r="R67" s="127">
        <v>21000</v>
      </c>
      <c r="S67" s="112">
        <f>R67/2</f>
        <v>10500</v>
      </c>
      <c r="T67" s="112">
        <f>R67/2</f>
        <v>10500</v>
      </c>
      <c r="U67" s="50"/>
      <c r="W67" s="163"/>
      <c r="X67" s="163"/>
      <c r="Y67" s="112"/>
      <c r="Z67" s="112"/>
      <c r="AA67" s="50"/>
      <c r="AB67" s="50"/>
      <c r="AC67" s="50"/>
      <c r="AD67" s="50"/>
      <c r="AE67" s="50" t="s">
        <v>352</v>
      </c>
      <c r="AF67" s="50"/>
      <c r="AG67" s="50"/>
      <c r="AH67" s="50"/>
      <c r="AL67" s="50"/>
      <c r="AM67" s="50"/>
      <c r="AN67" s="50"/>
      <c r="AO67" s="50"/>
    </row>
    <row r="68" spans="1:69" s="23" customFormat="1" ht="23.25">
      <c r="A68" s="23">
        <v>47</v>
      </c>
      <c r="B68" s="19">
        <v>12</v>
      </c>
      <c r="C68" s="46">
        <v>2004</v>
      </c>
      <c r="D68" s="46">
        <v>2008</v>
      </c>
      <c r="E68" s="46" t="s">
        <v>152</v>
      </c>
      <c r="F68" s="19" t="s">
        <v>146</v>
      </c>
      <c r="G68" s="20" t="s">
        <v>148</v>
      </c>
      <c r="H68" s="247" t="s">
        <v>576</v>
      </c>
      <c r="I68" s="260"/>
      <c r="J68" s="199"/>
      <c r="K68" s="196" t="s">
        <v>548</v>
      </c>
      <c r="L68" s="196"/>
      <c r="M68" s="184" t="s">
        <v>118</v>
      </c>
      <c r="N68" s="184" t="s">
        <v>206</v>
      </c>
      <c r="O68" s="53" t="s">
        <v>385</v>
      </c>
      <c r="P68" s="61"/>
      <c r="Q68" s="27"/>
      <c r="R68" s="27"/>
      <c r="S68" s="27"/>
      <c r="T68" s="46">
        <v>70000</v>
      </c>
      <c r="U68" s="26"/>
      <c r="V68" s="26"/>
      <c r="W68" s="164"/>
      <c r="X68" s="164"/>
      <c r="Y68" s="26"/>
      <c r="Z68" s="26"/>
      <c r="AA68" s="27"/>
      <c r="AB68" s="27"/>
      <c r="AC68" s="27"/>
      <c r="AD68" s="27"/>
      <c r="AE68" s="61" t="s">
        <v>0</v>
      </c>
      <c r="AF68" s="27" t="s">
        <v>45</v>
      </c>
      <c r="AG68" s="50"/>
      <c r="AH68" s="50"/>
      <c r="AI68" s="50"/>
      <c r="AJ68" s="50"/>
      <c r="AK68" s="50"/>
      <c r="AL68" s="50"/>
      <c r="AN68" s="27"/>
      <c r="AO68" s="50">
        <v>0</v>
      </c>
      <c r="AP68" s="50">
        <v>0</v>
      </c>
      <c r="AQ68" s="50"/>
      <c r="AR68" s="50"/>
      <c r="BM68" s="54"/>
      <c r="BQ68" s="54"/>
    </row>
    <row r="69" spans="1:69" s="23" customFormat="1" ht="36">
      <c r="A69" s="23">
        <v>49</v>
      </c>
      <c r="B69" s="19">
        <v>29</v>
      </c>
      <c r="C69" s="46">
        <v>2004</v>
      </c>
      <c r="D69" s="46">
        <v>2006</v>
      </c>
      <c r="E69" s="46" t="s">
        <v>152</v>
      </c>
      <c r="F69" s="19" t="s">
        <v>101</v>
      </c>
      <c r="G69" s="20" t="s">
        <v>44</v>
      </c>
      <c r="H69" s="286"/>
      <c r="I69" s="60"/>
      <c r="J69" s="184" t="s">
        <v>263</v>
      </c>
      <c r="K69" s="196" t="s">
        <v>563</v>
      </c>
      <c r="L69" s="196"/>
      <c r="M69" s="184" t="s">
        <v>33</v>
      </c>
      <c r="N69" s="184" t="s">
        <v>206</v>
      </c>
      <c r="O69" s="53" t="s">
        <v>385</v>
      </c>
      <c r="P69" s="61"/>
      <c r="Q69" s="27"/>
      <c r="R69" s="27"/>
      <c r="S69" s="27"/>
      <c r="T69" s="46">
        <f>2150*12+4000</f>
        <v>29800</v>
      </c>
      <c r="U69" s="28"/>
      <c r="V69" s="28"/>
      <c r="W69" s="154"/>
      <c r="X69" s="154"/>
      <c r="Y69" s="28"/>
      <c r="Z69" s="28"/>
      <c r="AA69" s="27"/>
      <c r="AB69" s="27"/>
      <c r="AC69" s="27"/>
      <c r="AD69" s="27"/>
      <c r="AE69" s="50" t="s">
        <v>156</v>
      </c>
      <c r="AF69" s="51"/>
      <c r="AG69" s="50"/>
      <c r="AH69" s="50"/>
      <c r="AI69" s="50"/>
      <c r="AJ69" s="50"/>
      <c r="AK69" s="50"/>
      <c r="AL69" s="50"/>
      <c r="AN69" s="51"/>
      <c r="AO69" s="61">
        <v>0</v>
      </c>
      <c r="AP69" s="61">
        <v>0</v>
      </c>
      <c r="AQ69" s="50"/>
      <c r="AR69" s="50" t="s">
        <v>156</v>
      </c>
      <c r="BM69" s="54"/>
      <c r="BQ69" s="54"/>
    </row>
    <row r="70" spans="1:44" s="23" customFormat="1" ht="36">
      <c r="A70" s="23">
        <v>50</v>
      </c>
      <c r="B70" s="19">
        <v>28</v>
      </c>
      <c r="C70" s="46">
        <v>2004</v>
      </c>
      <c r="D70" s="46">
        <v>2007</v>
      </c>
      <c r="E70" s="46" t="s">
        <v>152</v>
      </c>
      <c r="F70" s="19" t="s">
        <v>102</v>
      </c>
      <c r="G70" s="47" t="s">
        <v>147</v>
      </c>
      <c r="H70" s="286"/>
      <c r="I70" s="60"/>
      <c r="J70" s="184" t="s">
        <v>223</v>
      </c>
      <c r="K70" s="196" t="s">
        <v>564</v>
      </c>
      <c r="L70" s="196"/>
      <c r="M70" s="184" t="s">
        <v>39</v>
      </c>
      <c r="N70" s="184" t="s">
        <v>206</v>
      </c>
      <c r="O70" s="53" t="s">
        <v>262</v>
      </c>
      <c r="P70" s="61"/>
      <c r="Q70" s="27"/>
      <c r="R70" s="27"/>
      <c r="S70" s="27"/>
      <c r="T70" s="46">
        <v>67500</v>
      </c>
      <c r="U70" s="26"/>
      <c r="V70" s="26"/>
      <c r="W70" s="164"/>
      <c r="X70" s="164"/>
      <c r="Y70" s="26"/>
      <c r="Z70" s="26"/>
      <c r="AA70" s="27" t="s">
        <v>169</v>
      </c>
      <c r="AB70" s="27" t="s">
        <v>169</v>
      </c>
      <c r="AC70" s="27"/>
      <c r="AD70" s="27"/>
      <c r="AE70" s="27" t="s">
        <v>1</v>
      </c>
      <c r="AF70" s="27" t="s">
        <v>40</v>
      </c>
      <c r="AG70" s="50"/>
      <c r="AH70" s="50"/>
      <c r="AI70" s="50"/>
      <c r="AJ70" s="50"/>
      <c r="AK70" s="50">
        <v>20000</v>
      </c>
      <c r="AL70" s="50"/>
      <c r="AM70" s="23" t="s">
        <v>78</v>
      </c>
      <c r="AN70" s="27"/>
      <c r="AO70" s="62">
        <f>25000*1.1</f>
        <v>27500.000000000004</v>
      </c>
      <c r="AP70" s="63">
        <f>27500/3</f>
        <v>9166.666666666666</v>
      </c>
      <c r="AQ70" s="50" t="s">
        <v>85</v>
      </c>
      <c r="AR70" s="50" t="s">
        <v>79</v>
      </c>
    </row>
    <row r="71" spans="1:69" s="64" customFormat="1" ht="90">
      <c r="A71" s="64">
        <v>51</v>
      </c>
      <c r="B71" s="19">
        <v>30</v>
      </c>
      <c r="C71" s="46">
        <v>2004</v>
      </c>
      <c r="D71" s="46">
        <v>2005</v>
      </c>
      <c r="E71" s="46" t="s">
        <v>152</v>
      </c>
      <c r="F71" s="19" t="s">
        <v>103</v>
      </c>
      <c r="G71" s="47" t="s">
        <v>149</v>
      </c>
      <c r="H71" s="286"/>
      <c r="I71" s="60"/>
      <c r="J71" s="199"/>
      <c r="K71" s="196" t="s">
        <v>565</v>
      </c>
      <c r="L71" s="196"/>
      <c r="M71" s="184" t="s">
        <v>120</v>
      </c>
      <c r="N71" s="184" t="s">
        <v>206</v>
      </c>
      <c r="O71" s="53" t="s">
        <v>474</v>
      </c>
      <c r="P71" s="61"/>
      <c r="Q71" s="46">
        <f>55800+14525</f>
        <v>70325</v>
      </c>
      <c r="R71" s="46">
        <f>55800+14525</f>
        <v>70325</v>
      </c>
      <c r="S71" s="27"/>
      <c r="T71" s="26"/>
      <c r="U71" s="26"/>
      <c r="V71" s="26"/>
      <c r="W71" s="164"/>
      <c r="X71" s="164"/>
      <c r="Y71" s="26"/>
      <c r="Z71" s="26"/>
      <c r="AA71" s="27"/>
      <c r="AB71" s="27"/>
      <c r="AC71" s="27"/>
      <c r="AD71" s="27"/>
      <c r="AE71" s="61" t="s">
        <v>2</v>
      </c>
      <c r="AF71" s="27">
        <f>55000+14525</f>
        <v>69525</v>
      </c>
      <c r="AG71" s="65"/>
      <c r="AH71" s="65"/>
      <c r="AI71" s="65"/>
      <c r="AJ71" s="65"/>
      <c r="AK71" s="50">
        <v>70325</v>
      </c>
      <c r="AL71" s="65"/>
      <c r="AN71" s="27"/>
      <c r="AO71" s="61">
        <v>0</v>
      </c>
      <c r="AP71" s="61">
        <v>0</v>
      </c>
      <c r="AQ71" s="65"/>
      <c r="AR71" s="65"/>
      <c r="BM71" s="54"/>
      <c r="BQ71" s="54"/>
    </row>
    <row r="72" spans="1:71" s="23" customFormat="1" ht="45">
      <c r="A72" s="23">
        <v>52</v>
      </c>
      <c r="B72" s="19"/>
      <c r="C72" s="46">
        <v>2006</v>
      </c>
      <c r="D72" s="46">
        <v>2007</v>
      </c>
      <c r="E72" s="46" t="s">
        <v>152</v>
      </c>
      <c r="F72" s="19" t="s">
        <v>138</v>
      </c>
      <c r="G72" s="47" t="s">
        <v>240</v>
      </c>
      <c r="H72" s="286"/>
      <c r="I72" s="60"/>
      <c r="J72" s="184" t="s">
        <v>204</v>
      </c>
      <c r="K72" s="234" t="s">
        <v>566</v>
      </c>
      <c r="L72" s="53" t="s">
        <v>241</v>
      </c>
      <c r="M72" s="184" t="s">
        <v>150</v>
      </c>
      <c r="N72" s="184" t="s">
        <v>206</v>
      </c>
      <c r="O72" s="53" t="s">
        <v>242</v>
      </c>
      <c r="P72" s="53" t="s">
        <v>185</v>
      </c>
      <c r="Q72" s="51">
        <f>44960+44625</f>
        <v>89585</v>
      </c>
      <c r="R72" s="51">
        <f>Q72</f>
        <v>89585</v>
      </c>
      <c r="S72" s="51">
        <f>44960</f>
        <v>44960</v>
      </c>
      <c r="T72" s="28">
        <v>44625</v>
      </c>
      <c r="U72" s="28"/>
      <c r="V72" s="28"/>
      <c r="W72" s="154"/>
      <c r="X72" s="154"/>
      <c r="Y72" s="28"/>
      <c r="Z72" s="28"/>
      <c r="AA72" s="27"/>
      <c r="AB72" s="27" t="s">
        <v>169</v>
      </c>
      <c r="AC72" s="27"/>
      <c r="AD72" s="27"/>
      <c r="AE72" s="49" t="s">
        <v>3</v>
      </c>
      <c r="AG72" s="50"/>
      <c r="AI72" s="50"/>
      <c r="AJ72" s="50"/>
      <c r="AK72" s="50"/>
      <c r="AL72" s="51">
        <f>44960+44625</f>
        <v>89585</v>
      </c>
      <c r="AM72" s="23" t="s">
        <v>54</v>
      </c>
      <c r="AN72" s="23" t="s">
        <v>38</v>
      </c>
      <c r="AO72" s="51">
        <f>62000*1.1</f>
        <v>68200</v>
      </c>
      <c r="AP72" s="52">
        <v>34100</v>
      </c>
      <c r="AQ72" s="53"/>
      <c r="AR72" s="53" t="s">
        <v>121</v>
      </c>
      <c r="BS72" s="54"/>
    </row>
    <row r="73" spans="1:71" s="23" customFormat="1" ht="36">
      <c r="A73" s="23">
        <v>54</v>
      </c>
      <c r="B73" s="19"/>
      <c r="C73" s="46">
        <v>2006</v>
      </c>
      <c r="D73" s="46">
        <v>2007</v>
      </c>
      <c r="E73" s="46" t="s">
        <v>152</v>
      </c>
      <c r="F73" s="19" t="s">
        <v>218</v>
      </c>
      <c r="G73" s="47" t="s">
        <v>219</v>
      </c>
      <c r="H73" s="286"/>
      <c r="I73" s="25"/>
      <c r="J73" s="184" t="s">
        <v>220</v>
      </c>
      <c r="K73" s="196" t="s">
        <v>567</v>
      </c>
      <c r="L73" s="53" t="s">
        <v>221</v>
      </c>
      <c r="M73" s="184"/>
      <c r="N73" s="189" t="s">
        <v>206</v>
      </c>
      <c r="O73" s="46" t="s">
        <v>222</v>
      </c>
      <c r="P73" s="46" t="s">
        <v>185</v>
      </c>
      <c r="Q73" s="46">
        <v>24700</v>
      </c>
      <c r="R73" s="46">
        <v>24700</v>
      </c>
      <c r="S73" s="46"/>
      <c r="T73" s="48">
        <v>24700</v>
      </c>
      <c r="U73" s="48"/>
      <c r="V73" s="48"/>
      <c r="W73" s="166"/>
      <c r="X73" s="166"/>
      <c r="Y73" s="48"/>
      <c r="Z73" s="48"/>
      <c r="AA73" s="27"/>
      <c r="AB73" s="27"/>
      <c r="AC73" s="27"/>
      <c r="AD73" s="27"/>
      <c r="AE73" s="49"/>
      <c r="AG73" s="50"/>
      <c r="AI73" s="50"/>
      <c r="AJ73" s="50"/>
      <c r="AK73" s="50">
        <v>24700</v>
      </c>
      <c r="AL73" s="50"/>
      <c r="AO73" s="51"/>
      <c r="AP73" s="52"/>
      <c r="AQ73" s="53"/>
      <c r="AR73" s="53"/>
      <c r="BS73" s="54"/>
    </row>
    <row r="74" spans="1:71" s="23" customFormat="1" ht="36">
      <c r="A74" s="23">
        <v>59</v>
      </c>
      <c r="B74" s="19"/>
      <c r="C74" s="46">
        <v>2006</v>
      </c>
      <c r="D74" s="99">
        <v>39142</v>
      </c>
      <c r="E74" s="46" t="s">
        <v>152</v>
      </c>
      <c r="F74" s="19" t="s">
        <v>284</v>
      </c>
      <c r="G74" s="47" t="s">
        <v>315</v>
      </c>
      <c r="H74" s="286"/>
      <c r="I74" s="25"/>
      <c r="J74" s="184" t="s">
        <v>216</v>
      </c>
      <c r="K74" s="196" t="s">
        <v>567</v>
      </c>
      <c r="L74" s="53" t="s">
        <v>285</v>
      </c>
      <c r="M74" s="184"/>
      <c r="N74" s="189" t="s">
        <v>206</v>
      </c>
      <c r="O74" s="46" t="s">
        <v>245</v>
      </c>
      <c r="P74" s="46" t="s">
        <v>185</v>
      </c>
      <c r="Q74" s="100">
        <f>39728/1.1996</f>
        <v>33117.705901967325</v>
      </c>
      <c r="R74" s="100">
        <f>39728/1.1996</f>
        <v>33117.705901967325</v>
      </c>
      <c r="S74" s="46"/>
      <c r="T74" s="100">
        <f>39728/1.1996</f>
        <v>33117.705901967325</v>
      </c>
      <c r="U74" s="48"/>
      <c r="V74" s="48"/>
      <c r="W74" s="166"/>
      <c r="X74" s="166"/>
      <c r="Y74" s="48"/>
      <c r="Z74" s="48"/>
      <c r="AA74" s="27"/>
      <c r="AB74" s="27"/>
      <c r="AC74" s="27"/>
      <c r="AD74" s="27"/>
      <c r="AE74" s="49"/>
      <c r="AG74" s="50">
        <f>33118</f>
        <v>33118</v>
      </c>
      <c r="AI74" s="50"/>
      <c r="AJ74" s="50"/>
      <c r="AK74" s="50"/>
      <c r="AL74" s="50"/>
      <c r="AO74" s="51"/>
      <c r="AP74" s="52"/>
      <c r="AQ74" s="53"/>
      <c r="AR74" s="53"/>
      <c r="BS74" s="54"/>
    </row>
    <row r="75" spans="1:64" s="23" customFormat="1" ht="36.75" customHeight="1">
      <c r="A75" s="23">
        <v>68</v>
      </c>
      <c r="B75" s="19">
        <v>16</v>
      </c>
      <c r="C75" s="46">
        <v>2000</v>
      </c>
      <c r="D75" s="46">
        <v>2003</v>
      </c>
      <c r="E75" s="46" t="s">
        <v>152</v>
      </c>
      <c r="F75" s="19" t="s">
        <v>104</v>
      </c>
      <c r="G75" s="20" t="s">
        <v>154</v>
      </c>
      <c r="H75" s="244" t="s">
        <v>577</v>
      </c>
      <c r="I75" s="21"/>
      <c r="J75" s="184" t="s">
        <v>282</v>
      </c>
      <c r="K75" s="285" t="s">
        <v>532</v>
      </c>
      <c r="L75" s="196"/>
      <c r="M75" s="184" t="s">
        <v>158</v>
      </c>
      <c r="N75" s="177" t="s">
        <v>267</v>
      </c>
      <c r="O75" s="50"/>
      <c r="P75" s="50"/>
      <c r="R75" s="273">
        <v>290000</v>
      </c>
      <c r="S75" s="137"/>
      <c r="T75" s="137"/>
      <c r="U75" s="24"/>
      <c r="V75" s="138"/>
      <c r="W75" s="159"/>
      <c r="X75" s="278"/>
      <c r="Y75" s="138"/>
      <c r="Z75" s="138"/>
      <c r="AA75" s="139"/>
      <c r="AE75" s="50" t="s">
        <v>4</v>
      </c>
      <c r="AF75" s="23" t="s">
        <v>160</v>
      </c>
      <c r="AG75" s="54"/>
      <c r="AH75" s="54"/>
      <c r="AI75" s="54"/>
      <c r="AJ75" s="54"/>
      <c r="AK75" s="54"/>
      <c r="AL75" s="54"/>
      <c r="AM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</row>
    <row r="76" spans="1:44" s="23" customFormat="1" ht="36">
      <c r="A76" s="23">
        <v>69</v>
      </c>
      <c r="B76" s="19">
        <v>2</v>
      </c>
      <c r="C76" s="46">
        <v>2003</v>
      </c>
      <c r="D76" s="46">
        <v>2006</v>
      </c>
      <c r="E76" s="46" t="s">
        <v>152</v>
      </c>
      <c r="F76" s="19" t="s">
        <v>105</v>
      </c>
      <c r="G76" s="20" t="s">
        <v>172</v>
      </c>
      <c r="H76" s="244"/>
      <c r="I76" s="25"/>
      <c r="J76" s="184" t="s">
        <v>216</v>
      </c>
      <c r="K76" s="196" t="s">
        <v>568</v>
      </c>
      <c r="L76" s="196"/>
      <c r="M76" s="184" t="s">
        <v>157</v>
      </c>
      <c r="N76" s="177" t="s">
        <v>267</v>
      </c>
      <c r="O76" s="50"/>
      <c r="P76" s="50"/>
      <c r="T76" s="26"/>
      <c r="U76" s="26"/>
      <c r="V76" s="26"/>
      <c r="W76" s="164"/>
      <c r="X76" s="280"/>
      <c r="Y76" s="281"/>
      <c r="Z76" s="281"/>
      <c r="AA76" s="139"/>
      <c r="AE76" s="61"/>
      <c r="AG76" s="50"/>
      <c r="AH76" s="50"/>
      <c r="AI76" s="50"/>
      <c r="AJ76" s="50"/>
      <c r="AK76" s="50"/>
      <c r="AL76" s="50"/>
      <c r="AO76" s="50"/>
      <c r="AP76" s="50"/>
      <c r="AQ76" s="50"/>
      <c r="AR76" s="50"/>
    </row>
    <row r="77" spans="1:44" s="23" customFormat="1" ht="23.25">
      <c r="A77" s="23">
        <v>70</v>
      </c>
      <c r="B77" s="19">
        <v>15</v>
      </c>
      <c r="C77" s="46">
        <v>2003</v>
      </c>
      <c r="D77" s="46">
        <v>2007</v>
      </c>
      <c r="E77" s="46" t="s">
        <v>152</v>
      </c>
      <c r="F77" s="19" t="s">
        <v>106</v>
      </c>
      <c r="G77" s="20" t="s">
        <v>294</v>
      </c>
      <c r="H77" s="244"/>
      <c r="I77" s="25"/>
      <c r="J77" s="184" t="s">
        <v>223</v>
      </c>
      <c r="K77" s="196" t="s">
        <v>569</v>
      </c>
      <c r="L77" s="53" t="s">
        <v>268</v>
      </c>
      <c r="M77" s="184" t="s">
        <v>34</v>
      </c>
      <c r="N77" s="189" t="s">
        <v>267</v>
      </c>
      <c r="O77" s="46" t="s">
        <v>242</v>
      </c>
      <c r="P77" s="46" t="s">
        <v>185</v>
      </c>
      <c r="Q77" s="46">
        <v>61000</v>
      </c>
      <c r="R77" s="46">
        <v>36478</v>
      </c>
      <c r="S77" s="27"/>
      <c r="T77" s="123">
        <v>36478</v>
      </c>
      <c r="U77" s="28"/>
      <c r="V77" s="28"/>
      <c r="W77" s="154"/>
      <c r="X77" s="154"/>
      <c r="Y77" s="28"/>
      <c r="Z77" s="28"/>
      <c r="AA77" s="36">
        <v>36478</v>
      </c>
      <c r="AB77" s="27" t="s">
        <v>169</v>
      </c>
      <c r="AC77" s="27"/>
      <c r="AD77" s="27"/>
      <c r="AE77" s="66" t="s">
        <v>5</v>
      </c>
      <c r="AF77" s="27" t="s">
        <v>42</v>
      </c>
      <c r="AG77" s="50"/>
      <c r="AH77" s="50"/>
      <c r="AI77" s="50"/>
      <c r="AJ77" s="50"/>
      <c r="AK77" s="50"/>
      <c r="AL77" s="50"/>
      <c r="AN77" s="27"/>
      <c r="AO77" s="67">
        <f>36600*1.1</f>
        <v>40260</v>
      </c>
      <c r="AP77" s="67">
        <f>40260/3</f>
        <v>13420</v>
      </c>
      <c r="AQ77" s="50"/>
      <c r="AR77" s="50"/>
    </row>
    <row r="78" spans="1:44" s="29" customFormat="1" ht="36">
      <c r="A78" s="29">
        <v>71</v>
      </c>
      <c r="B78" s="30">
        <v>14</v>
      </c>
      <c r="C78" s="46">
        <v>2006</v>
      </c>
      <c r="D78" s="46">
        <v>2007</v>
      </c>
      <c r="E78" s="46" t="s">
        <v>152</v>
      </c>
      <c r="F78" s="19" t="s">
        <v>107</v>
      </c>
      <c r="G78" s="20" t="s">
        <v>21</v>
      </c>
      <c r="H78" s="244"/>
      <c r="I78" s="25"/>
      <c r="J78" s="184" t="s">
        <v>263</v>
      </c>
      <c r="K78" s="196" t="s">
        <v>570</v>
      </c>
      <c r="L78" s="53" t="s">
        <v>266</v>
      </c>
      <c r="M78" s="184" t="s">
        <v>35</v>
      </c>
      <c r="N78" s="189" t="s">
        <v>267</v>
      </c>
      <c r="O78" s="46" t="s">
        <v>242</v>
      </c>
      <c r="P78" s="46" t="s">
        <v>185</v>
      </c>
      <c r="Q78" s="46">
        <v>59500</v>
      </c>
      <c r="R78" s="46">
        <v>29900</v>
      </c>
      <c r="S78" s="23"/>
      <c r="T78" s="46">
        <v>29900</v>
      </c>
      <c r="U78" s="24"/>
      <c r="V78" s="24"/>
      <c r="W78" s="158"/>
      <c r="X78" s="158"/>
      <c r="Y78" s="35"/>
      <c r="Z78" s="35"/>
      <c r="AA78" s="36">
        <v>29900</v>
      </c>
      <c r="AB78" s="29" t="s">
        <v>174</v>
      </c>
      <c r="AE78" s="36" t="s">
        <v>6</v>
      </c>
      <c r="AF78" s="29" t="s">
        <v>129</v>
      </c>
      <c r="AH78" s="36"/>
      <c r="AI78" s="36"/>
      <c r="AJ78" s="36"/>
      <c r="AK78" s="36"/>
      <c r="AL78" s="36"/>
      <c r="AM78" s="29" t="s">
        <v>130</v>
      </c>
      <c r="AN78" s="29" t="s">
        <v>131</v>
      </c>
      <c r="AO78" s="41">
        <f>25000*1.1</f>
        <v>27500.000000000004</v>
      </c>
      <c r="AP78" s="77">
        <f>15000*1.1</f>
        <v>16500</v>
      </c>
      <c r="AQ78" s="36" t="s">
        <v>132</v>
      </c>
      <c r="AR78" s="36" t="s">
        <v>133</v>
      </c>
    </row>
    <row r="79" spans="1:44" s="23" customFormat="1" ht="23.25">
      <c r="A79" s="23">
        <v>72</v>
      </c>
      <c r="B79" s="19">
        <v>17</v>
      </c>
      <c r="C79" s="46">
        <v>2003</v>
      </c>
      <c r="D79" s="46">
        <v>2005</v>
      </c>
      <c r="E79" s="46" t="s">
        <v>152</v>
      </c>
      <c r="F79" s="19" t="s">
        <v>108</v>
      </c>
      <c r="G79" s="20" t="s">
        <v>22</v>
      </c>
      <c r="H79" s="244"/>
      <c r="I79" s="25"/>
      <c r="J79" s="201"/>
      <c r="K79" s="196" t="s">
        <v>571</v>
      </c>
      <c r="L79" s="196"/>
      <c r="M79" s="184" t="s">
        <v>59</v>
      </c>
      <c r="N79" s="177" t="s">
        <v>267</v>
      </c>
      <c r="O79" s="50"/>
      <c r="P79" s="50"/>
      <c r="R79" s="24">
        <v>141000</v>
      </c>
      <c r="U79" s="24"/>
      <c r="V79" s="24"/>
      <c r="W79" s="159"/>
      <c r="X79" s="159"/>
      <c r="Y79" s="24"/>
      <c r="Z79" s="24"/>
      <c r="AE79" s="50" t="s">
        <v>50</v>
      </c>
      <c r="AF79" s="23" t="s">
        <v>159</v>
      </c>
      <c r="AG79" s="50"/>
      <c r="AH79" s="50"/>
      <c r="AI79" s="50"/>
      <c r="AJ79" s="50"/>
      <c r="AK79" s="50"/>
      <c r="AL79" s="50"/>
      <c r="AO79" s="50"/>
      <c r="AP79" s="50"/>
      <c r="AQ79" s="50"/>
      <c r="AR79" s="50"/>
    </row>
    <row r="80" spans="1:44" s="23" customFormat="1" ht="36">
      <c r="A80" s="23">
        <v>73</v>
      </c>
      <c r="B80" s="19">
        <v>8</v>
      </c>
      <c r="C80" s="46">
        <v>2002</v>
      </c>
      <c r="D80" s="46">
        <v>2006</v>
      </c>
      <c r="E80" s="46" t="s">
        <v>152</v>
      </c>
      <c r="F80" s="19" t="s">
        <v>109</v>
      </c>
      <c r="G80" s="20" t="s">
        <v>20</v>
      </c>
      <c r="H80" s="244"/>
      <c r="I80" s="25"/>
      <c r="J80" s="184" t="s">
        <v>216</v>
      </c>
      <c r="K80" s="196" t="s">
        <v>572</v>
      </c>
      <c r="L80" s="196"/>
      <c r="M80" s="184" t="s">
        <v>32</v>
      </c>
      <c r="N80" s="177" t="s">
        <v>269</v>
      </c>
      <c r="O80" s="46" t="s">
        <v>270</v>
      </c>
      <c r="P80" s="50"/>
      <c r="T80" s="70">
        <f>37100+27500</f>
        <v>64600</v>
      </c>
      <c r="U80" s="24"/>
      <c r="V80" s="24"/>
      <c r="W80" s="159"/>
      <c r="X80" s="159"/>
      <c r="Y80" s="24"/>
      <c r="Z80" s="24"/>
      <c r="AA80" s="71"/>
      <c r="AB80" s="23" t="s">
        <v>163</v>
      </c>
      <c r="AE80" s="70" t="s">
        <v>50</v>
      </c>
      <c r="AG80" s="50"/>
      <c r="AH80" s="50">
        <v>26800</v>
      </c>
      <c r="AI80" s="50"/>
      <c r="AJ80" s="50"/>
      <c r="AK80" s="50"/>
      <c r="AL80" s="50"/>
      <c r="AO80" s="67">
        <f>25000*1.1</f>
        <v>27500.000000000004</v>
      </c>
      <c r="AP80" s="63">
        <f>27500/3</f>
        <v>9166.666666666666</v>
      </c>
      <c r="AQ80" s="50"/>
      <c r="AR80" s="50">
        <v>10300</v>
      </c>
    </row>
    <row r="81" spans="1:44" s="23" customFormat="1" ht="36">
      <c r="A81" s="23">
        <v>74</v>
      </c>
      <c r="B81" s="19"/>
      <c r="C81" s="46">
        <v>2008</v>
      </c>
      <c r="D81" s="46">
        <v>2010</v>
      </c>
      <c r="E81" s="46" t="s">
        <v>152</v>
      </c>
      <c r="F81" s="19" t="s">
        <v>279</v>
      </c>
      <c r="G81" s="20" t="s">
        <v>265</v>
      </c>
      <c r="H81" s="244"/>
      <c r="I81" s="25"/>
      <c r="J81" s="184" t="s">
        <v>263</v>
      </c>
      <c r="K81" s="196" t="s">
        <v>570</v>
      </c>
      <c r="L81" s="53" t="s">
        <v>280</v>
      </c>
      <c r="M81" s="184"/>
      <c r="N81" s="177" t="s">
        <v>267</v>
      </c>
      <c r="O81" s="50" t="s">
        <v>272</v>
      </c>
      <c r="P81" s="50" t="s">
        <v>185</v>
      </c>
      <c r="Q81" s="23">
        <v>53000</v>
      </c>
      <c r="R81" s="23">
        <v>26500</v>
      </c>
      <c r="T81" s="46">
        <v>26500</v>
      </c>
      <c r="U81" s="24"/>
      <c r="V81" s="24"/>
      <c r="W81" s="168"/>
      <c r="X81" s="168"/>
      <c r="AA81" s="24">
        <v>26500</v>
      </c>
      <c r="AE81" s="70"/>
      <c r="AG81" s="50"/>
      <c r="AH81" s="50"/>
      <c r="AI81" s="50"/>
      <c r="AJ81" s="50"/>
      <c r="AK81" s="50"/>
      <c r="AL81" s="50"/>
      <c r="AO81" s="67"/>
      <c r="AP81" s="63"/>
      <c r="AQ81" s="50"/>
      <c r="AR81" s="50"/>
    </row>
    <row r="82" spans="1:44" s="23" customFormat="1" ht="30">
      <c r="A82" s="23">
        <v>75</v>
      </c>
      <c r="B82" s="19"/>
      <c r="C82" s="46">
        <v>2009</v>
      </c>
      <c r="D82" s="46">
        <v>2010</v>
      </c>
      <c r="E82" s="46" t="s">
        <v>152</v>
      </c>
      <c r="F82" s="19" t="s">
        <v>309</v>
      </c>
      <c r="G82" s="20" t="s">
        <v>310</v>
      </c>
      <c r="H82" s="244"/>
      <c r="I82" s="25"/>
      <c r="J82" s="184" t="s">
        <v>223</v>
      </c>
      <c r="K82" s="196" t="s">
        <v>569</v>
      </c>
      <c r="L82" s="53" t="s">
        <v>263</v>
      </c>
      <c r="M82" s="184"/>
      <c r="N82" s="177" t="s">
        <v>267</v>
      </c>
      <c r="O82" s="50" t="s">
        <v>262</v>
      </c>
      <c r="P82" s="50" t="s">
        <v>185</v>
      </c>
      <c r="Q82" s="23">
        <v>90800</v>
      </c>
      <c r="R82" s="135">
        <f>45800/1.196</f>
        <v>38294.3143812709</v>
      </c>
      <c r="T82" s="46"/>
      <c r="U82" s="24"/>
      <c r="V82" s="140">
        <f>45800/1.196</f>
        <v>38294.3143812709</v>
      </c>
      <c r="W82" s="168"/>
      <c r="X82" s="168"/>
      <c r="AA82" s="24">
        <f>V82</f>
        <v>38294.3143812709</v>
      </c>
      <c r="AE82" s="70"/>
      <c r="AG82" s="50"/>
      <c r="AH82" s="50"/>
      <c r="AI82" s="50"/>
      <c r="AJ82" s="50"/>
      <c r="AK82" s="50"/>
      <c r="AL82" s="50"/>
      <c r="AO82" s="67"/>
      <c r="AP82" s="63"/>
      <c r="AQ82" s="50"/>
      <c r="AR82" s="50"/>
    </row>
    <row r="83" spans="1:44" s="23" customFormat="1" ht="36">
      <c r="A83" s="23">
        <v>76</v>
      </c>
      <c r="C83" s="46">
        <v>2009</v>
      </c>
      <c r="D83" s="46">
        <v>2010</v>
      </c>
      <c r="E83" s="53" t="s">
        <v>152</v>
      </c>
      <c r="F83" s="19" t="s">
        <v>312</v>
      </c>
      <c r="G83" s="27" t="s">
        <v>362</v>
      </c>
      <c r="H83" s="244"/>
      <c r="I83" s="134"/>
      <c r="J83" s="184" t="s">
        <v>204</v>
      </c>
      <c r="K83" s="196" t="s">
        <v>573</v>
      </c>
      <c r="L83" s="53" t="s">
        <v>313</v>
      </c>
      <c r="M83" s="184"/>
      <c r="N83" s="177" t="s">
        <v>267</v>
      </c>
      <c r="O83" s="50" t="s">
        <v>314</v>
      </c>
      <c r="P83" s="50" t="s">
        <v>185</v>
      </c>
      <c r="Q83" s="23">
        <v>57239</v>
      </c>
      <c r="R83" s="135">
        <f>29002/1.196</f>
        <v>24249.163879598662</v>
      </c>
      <c r="T83" s="136"/>
      <c r="U83" s="50"/>
      <c r="V83" s="112">
        <v>24249</v>
      </c>
      <c r="W83" s="169"/>
      <c r="X83" s="169"/>
      <c r="Y83" s="50"/>
      <c r="Z83" s="50"/>
      <c r="AA83" s="23">
        <v>24249</v>
      </c>
      <c r="AE83" s="50"/>
      <c r="AG83" s="50"/>
      <c r="AH83" s="50"/>
      <c r="AI83" s="50"/>
      <c r="AJ83" s="50"/>
      <c r="AK83" s="50"/>
      <c r="AL83" s="50"/>
      <c r="AO83" s="50"/>
      <c r="AP83" s="50"/>
      <c r="AQ83" s="50"/>
      <c r="AR83" s="50"/>
    </row>
    <row r="84" spans="1:44" s="23" customFormat="1" ht="60">
      <c r="A84" s="23">
        <v>92</v>
      </c>
      <c r="E84" s="53" t="s">
        <v>152</v>
      </c>
      <c r="F84" s="117" t="s">
        <v>324</v>
      </c>
      <c r="G84" s="20" t="s">
        <v>521</v>
      </c>
      <c r="H84" s="244"/>
      <c r="I84" s="46"/>
      <c r="J84" s="184" t="s">
        <v>424</v>
      </c>
      <c r="K84" s="285" t="s">
        <v>532</v>
      </c>
      <c r="L84" s="195"/>
      <c r="M84" s="188"/>
      <c r="N84" s="177" t="s">
        <v>267</v>
      </c>
      <c r="O84" s="113">
        <v>3</v>
      </c>
      <c r="P84" s="50"/>
      <c r="Q84" s="112"/>
      <c r="S84" s="142">
        <v>89660</v>
      </c>
      <c r="T84" s="142">
        <v>89660</v>
      </c>
      <c r="U84" s="142">
        <v>80060</v>
      </c>
      <c r="V84" s="142">
        <v>80060</v>
      </c>
      <c r="W84" s="142">
        <v>80060</v>
      </c>
      <c r="X84" s="169"/>
      <c r="Y84" s="50"/>
      <c r="Z84" s="50"/>
      <c r="AE84" s="50"/>
      <c r="AF84" s="23" t="s">
        <v>357</v>
      </c>
      <c r="AG84" s="50"/>
      <c r="AH84" s="50"/>
      <c r="AI84" s="50"/>
      <c r="AJ84" s="50"/>
      <c r="AK84" s="50"/>
      <c r="AL84" s="50"/>
      <c r="AO84" s="50"/>
      <c r="AP84" s="50"/>
      <c r="AQ84" s="50"/>
      <c r="AR84" s="50"/>
    </row>
    <row r="85" spans="1:44" s="23" customFormat="1" ht="30">
      <c r="A85" s="23">
        <v>93</v>
      </c>
      <c r="E85" s="53" t="s">
        <v>152</v>
      </c>
      <c r="F85" s="117" t="s">
        <v>324</v>
      </c>
      <c r="G85" s="20" t="s">
        <v>373</v>
      </c>
      <c r="H85" s="244"/>
      <c r="J85" s="184" t="s">
        <v>424</v>
      </c>
      <c r="K85" s="195"/>
      <c r="L85" s="195" t="s">
        <v>223</v>
      </c>
      <c r="M85" s="188"/>
      <c r="N85" s="177" t="s">
        <v>267</v>
      </c>
      <c r="O85" s="113" t="s">
        <v>262</v>
      </c>
      <c r="P85" s="50"/>
      <c r="Q85" s="112"/>
      <c r="S85" s="130">
        <v>29264.21</v>
      </c>
      <c r="T85" s="130">
        <v>29264.21</v>
      </c>
      <c r="U85" s="115"/>
      <c r="V85" s="50"/>
      <c r="W85" s="169"/>
      <c r="X85" s="169"/>
      <c r="Y85" s="50"/>
      <c r="Z85" s="50"/>
      <c r="AE85" s="50"/>
      <c r="AG85" s="50"/>
      <c r="AH85" s="50"/>
      <c r="AI85" s="50"/>
      <c r="AJ85" s="50"/>
      <c r="AK85" s="50"/>
      <c r="AL85" s="50"/>
      <c r="AO85" s="50"/>
      <c r="AP85" s="50"/>
      <c r="AQ85" s="50"/>
      <c r="AR85" s="50"/>
    </row>
    <row r="86" spans="1:44" s="23" customFormat="1" ht="18">
      <c r="A86" s="23">
        <v>94</v>
      </c>
      <c r="E86" s="53" t="s">
        <v>152</v>
      </c>
      <c r="F86" s="117"/>
      <c r="G86" s="20" t="s">
        <v>366</v>
      </c>
      <c r="H86" s="244"/>
      <c r="J86" s="177" t="s">
        <v>282</v>
      </c>
      <c r="K86" s="284" t="s">
        <v>550</v>
      </c>
      <c r="L86" s="195"/>
      <c r="M86" s="188"/>
      <c r="N86" s="177" t="s">
        <v>267</v>
      </c>
      <c r="O86" s="113" t="s">
        <v>262</v>
      </c>
      <c r="P86" s="50"/>
      <c r="Q86" s="112"/>
      <c r="T86" s="114"/>
      <c r="U86" s="115"/>
      <c r="V86" s="130">
        <v>33444</v>
      </c>
      <c r="W86" s="169"/>
      <c r="X86" s="169"/>
      <c r="Y86" s="50"/>
      <c r="Z86" s="50"/>
      <c r="AE86" s="50"/>
      <c r="AG86" s="50">
        <v>33444</v>
      </c>
      <c r="AH86" s="50"/>
      <c r="AI86" s="50"/>
      <c r="AJ86" s="50"/>
      <c r="AK86" s="50"/>
      <c r="AL86" s="50"/>
      <c r="AO86" s="50"/>
      <c r="AP86" s="50"/>
      <c r="AQ86" s="50"/>
      <c r="AR86" s="50"/>
    </row>
    <row r="87" spans="1:44" s="23" customFormat="1" ht="30">
      <c r="A87" s="23">
        <v>95</v>
      </c>
      <c r="E87" s="53" t="s">
        <v>152</v>
      </c>
      <c r="F87" s="117" t="s">
        <v>324</v>
      </c>
      <c r="G87" s="20" t="s">
        <v>301</v>
      </c>
      <c r="H87" s="244"/>
      <c r="J87" s="177" t="s">
        <v>282</v>
      </c>
      <c r="K87" s="264"/>
      <c r="L87" s="195" t="s">
        <v>321</v>
      </c>
      <c r="M87" s="188"/>
      <c r="N87" s="177" t="s">
        <v>267</v>
      </c>
      <c r="O87" s="113" t="s">
        <v>262</v>
      </c>
      <c r="P87" s="50"/>
      <c r="Q87" s="112"/>
      <c r="T87" s="114"/>
      <c r="U87" s="142">
        <v>41161.6</v>
      </c>
      <c r="V87" s="50"/>
      <c r="W87" s="169"/>
      <c r="X87" s="169"/>
      <c r="Y87" s="50"/>
      <c r="Z87" s="50"/>
      <c r="AE87" s="50"/>
      <c r="AG87" s="50"/>
      <c r="AH87" s="50"/>
      <c r="AI87" s="50"/>
      <c r="AJ87" s="50"/>
      <c r="AK87" s="50"/>
      <c r="AL87" s="50"/>
      <c r="AO87" s="50"/>
      <c r="AP87" s="50"/>
      <c r="AQ87" s="50"/>
      <c r="AR87" s="50"/>
    </row>
    <row r="88" spans="1:44" s="23" customFormat="1" ht="36">
      <c r="A88" s="23">
        <v>13</v>
      </c>
      <c r="B88" s="19"/>
      <c r="C88" s="19"/>
      <c r="D88" s="19"/>
      <c r="E88" s="46" t="s">
        <v>335</v>
      </c>
      <c r="F88" s="19" t="s">
        <v>15</v>
      </c>
      <c r="G88" s="47" t="s">
        <v>17</v>
      </c>
      <c r="H88" s="236"/>
      <c r="I88" s="82"/>
      <c r="J88" s="195" t="s">
        <v>216</v>
      </c>
      <c r="K88" s="196" t="s">
        <v>544</v>
      </c>
      <c r="L88" s="53" t="s">
        <v>271</v>
      </c>
      <c r="M88" s="185" t="s">
        <v>334</v>
      </c>
      <c r="N88" s="176" t="s">
        <v>253</v>
      </c>
      <c r="O88" s="62" t="s">
        <v>272</v>
      </c>
      <c r="P88" s="50" t="s">
        <v>185</v>
      </c>
      <c r="Q88" s="50"/>
      <c r="R88" s="50"/>
      <c r="S88" s="81"/>
      <c r="T88" s="28"/>
      <c r="U88" s="28"/>
      <c r="V88" s="28"/>
      <c r="W88" s="154"/>
      <c r="X88" s="154"/>
      <c r="Y88" s="28"/>
      <c r="Z88" s="28"/>
      <c r="AA88" s="50"/>
      <c r="AB88" s="27"/>
      <c r="AC88" s="27"/>
      <c r="AD88" s="27"/>
      <c r="AE88" s="51"/>
      <c r="AG88" s="50"/>
      <c r="AH88" s="50"/>
      <c r="AI88" s="50"/>
      <c r="AJ88" s="50"/>
      <c r="AK88" s="50"/>
      <c r="AL88" s="50"/>
      <c r="AN88" s="51"/>
      <c r="AO88" s="61"/>
      <c r="AP88" s="61"/>
      <c r="AQ88" s="53"/>
      <c r="AR88" s="50"/>
    </row>
    <row r="89" spans="1:44" s="23" customFormat="1" ht="36">
      <c r="A89" s="23">
        <v>14</v>
      </c>
      <c r="B89" s="19"/>
      <c r="C89" s="46">
        <v>2007</v>
      </c>
      <c r="D89" s="46">
        <v>2008</v>
      </c>
      <c r="E89" s="46" t="s">
        <v>503</v>
      </c>
      <c r="F89" s="19" t="s">
        <v>214</v>
      </c>
      <c r="G89" s="47" t="s">
        <v>215</v>
      </c>
      <c r="H89" s="236"/>
      <c r="I89" s="82"/>
      <c r="J89" s="195" t="s">
        <v>204</v>
      </c>
      <c r="K89" s="196" t="s">
        <v>534</v>
      </c>
      <c r="L89" s="53" t="s">
        <v>216</v>
      </c>
      <c r="M89" s="185"/>
      <c r="N89" s="189" t="s">
        <v>206</v>
      </c>
      <c r="O89" s="46" t="s">
        <v>217</v>
      </c>
      <c r="P89" s="46" t="s">
        <v>185</v>
      </c>
      <c r="Q89" s="46">
        <v>24100</v>
      </c>
      <c r="R89" s="49">
        <v>24100</v>
      </c>
      <c r="S89" s="49"/>
      <c r="T89" s="28">
        <f>Q89/2</f>
        <v>12050</v>
      </c>
      <c r="U89" s="28">
        <f>Q89/2</f>
        <v>12050</v>
      </c>
      <c r="V89" s="28"/>
      <c r="W89" s="154"/>
      <c r="X89" s="154"/>
      <c r="Y89" s="28"/>
      <c r="Z89" s="28"/>
      <c r="AA89" s="27"/>
      <c r="AB89" s="27"/>
      <c r="AC89" s="27"/>
      <c r="AD89" s="27"/>
      <c r="AE89" s="51"/>
      <c r="AG89" s="50">
        <v>24100</v>
      </c>
      <c r="AH89" s="50"/>
      <c r="AI89" s="50"/>
      <c r="AJ89" s="50"/>
      <c r="AK89" s="50"/>
      <c r="AL89" s="50"/>
      <c r="AN89" s="51"/>
      <c r="AO89" s="61"/>
      <c r="AP89" s="61"/>
      <c r="AQ89" s="53"/>
      <c r="AR89" s="50"/>
    </row>
    <row r="90" spans="1:44" s="29" customFormat="1" ht="54">
      <c r="A90" s="29">
        <v>25</v>
      </c>
      <c r="C90" s="36">
        <v>2008</v>
      </c>
      <c r="D90" s="36">
        <v>2011</v>
      </c>
      <c r="E90" s="45" t="s">
        <v>230</v>
      </c>
      <c r="F90" s="30" t="s">
        <v>192</v>
      </c>
      <c r="G90" s="32" t="s">
        <v>193</v>
      </c>
      <c r="H90" s="238"/>
      <c r="I90" s="39"/>
      <c r="J90" s="45" t="s">
        <v>207</v>
      </c>
      <c r="K90" s="192" t="s">
        <v>513</v>
      </c>
      <c r="L90" s="45" t="s">
        <v>208</v>
      </c>
      <c r="M90" s="178" t="s">
        <v>368</v>
      </c>
      <c r="N90" s="180" t="s">
        <v>209</v>
      </c>
      <c r="O90" s="190">
        <v>38018</v>
      </c>
      <c r="P90" s="36" t="s">
        <v>185</v>
      </c>
      <c r="Q90" s="35">
        <f>193700/1.196</f>
        <v>161956.52173913043</v>
      </c>
      <c r="R90" s="35">
        <f>154000/1.196</f>
        <v>128762.54180602008</v>
      </c>
      <c r="S90" s="35"/>
      <c r="U90" s="35">
        <f>R90/3</f>
        <v>42920.84726867336</v>
      </c>
      <c r="V90" s="35">
        <f>R90/3</f>
        <v>42920.84726867336</v>
      </c>
      <c r="W90" s="158">
        <f>R90/3</f>
        <v>42920.84726867336</v>
      </c>
      <c r="X90" s="158"/>
      <c r="Y90" s="35"/>
      <c r="Z90" s="35"/>
      <c r="AA90" s="38"/>
      <c r="AB90" s="40"/>
      <c r="AC90" s="40"/>
      <c r="AD90" s="40"/>
      <c r="AE90" s="41"/>
      <c r="AG90" s="36">
        <v>128763</v>
      </c>
      <c r="AI90" s="36"/>
      <c r="AJ90" s="36"/>
      <c r="AK90" s="36"/>
      <c r="AL90" s="36"/>
      <c r="AO90" s="36"/>
      <c r="AP90" s="36"/>
      <c r="AQ90" s="36"/>
      <c r="AR90" s="36"/>
    </row>
    <row r="91" spans="1:114" s="29" customFormat="1" ht="54">
      <c r="A91" s="29">
        <v>56</v>
      </c>
      <c r="B91" s="30"/>
      <c r="C91" s="31">
        <v>2008</v>
      </c>
      <c r="D91" s="36">
        <v>2011</v>
      </c>
      <c r="E91" s="31" t="s">
        <v>236</v>
      </c>
      <c r="F91" s="30" t="s">
        <v>235</v>
      </c>
      <c r="G91" s="42" t="s">
        <v>234</v>
      </c>
      <c r="H91" s="241"/>
      <c r="I91" s="39"/>
      <c r="J91" s="178" t="s">
        <v>237</v>
      </c>
      <c r="K91" s="192" t="s">
        <v>542</v>
      </c>
      <c r="L91" s="45" t="s">
        <v>238</v>
      </c>
      <c r="M91" s="178"/>
      <c r="N91" s="187" t="s">
        <v>343</v>
      </c>
      <c r="O91" s="31" t="s">
        <v>492</v>
      </c>
      <c r="P91" s="31" t="s">
        <v>185</v>
      </c>
      <c r="Q91" s="119">
        <f>188000/1.196</f>
        <v>157190.63545150502</v>
      </c>
      <c r="R91" s="119">
        <f>(150000+38000)/1.196</f>
        <v>157190.63545150502</v>
      </c>
      <c r="S91" s="31"/>
      <c r="T91" s="56"/>
      <c r="U91" s="56">
        <f>R91/3</f>
        <v>52396.878483835004</v>
      </c>
      <c r="V91" s="56">
        <f>R91/3</f>
        <v>52396.878483835004</v>
      </c>
      <c r="W91" s="165">
        <f>R91/3</f>
        <v>52396.878483835004</v>
      </c>
      <c r="X91" s="165"/>
      <c r="Y91" s="56"/>
      <c r="Z91" s="56"/>
      <c r="AA91" s="40"/>
      <c r="AB91" s="40"/>
      <c r="AC91" s="40"/>
      <c r="AD91" s="40"/>
      <c r="AE91" s="55"/>
      <c r="AG91" s="121">
        <f>150000/1.196</f>
        <v>125418.0602006689</v>
      </c>
      <c r="AI91" s="36"/>
      <c r="AJ91" s="36"/>
      <c r="AK91" s="36"/>
      <c r="AL91" s="36"/>
      <c r="AO91" s="38"/>
      <c r="AP91" s="57"/>
      <c r="AQ91" s="45"/>
      <c r="AR91" s="45"/>
      <c r="BS91" s="37"/>
      <c r="DJ91" s="122">
        <f>38000/1.196</f>
        <v>31772.575250836122</v>
      </c>
    </row>
    <row r="92" spans="1:71" s="29" customFormat="1" ht="45">
      <c r="A92" s="29">
        <v>55</v>
      </c>
      <c r="B92" s="30"/>
      <c r="C92" s="58">
        <v>39630</v>
      </c>
      <c r="D92" s="59" t="s">
        <v>380</v>
      </c>
      <c r="E92" s="31" t="s">
        <v>499</v>
      </c>
      <c r="F92" s="30" t="s">
        <v>226</v>
      </c>
      <c r="G92" s="42" t="s">
        <v>227</v>
      </c>
      <c r="H92" s="241"/>
      <c r="I92" s="39"/>
      <c r="J92" s="178" t="s">
        <v>228</v>
      </c>
      <c r="K92" s="192" t="s">
        <v>541</v>
      </c>
      <c r="L92" s="45"/>
      <c r="M92" s="178"/>
      <c r="N92" s="187" t="s">
        <v>206</v>
      </c>
      <c r="O92" s="31" t="s">
        <v>229</v>
      </c>
      <c r="P92" s="31" t="s">
        <v>185</v>
      </c>
      <c r="Q92" s="31">
        <v>48000</v>
      </c>
      <c r="R92" s="31">
        <v>48000</v>
      </c>
      <c r="S92" s="31"/>
      <c r="T92" s="56"/>
      <c r="U92" s="56">
        <v>24000</v>
      </c>
      <c r="V92" s="56">
        <v>24000</v>
      </c>
      <c r="W92" s="165"/>
      <c r="X92" s="165"/>
      <c r="Y92" s="56"/>
      <c r="Z92" s="56"/>
      <c r="AA92" s="40"/>
      <c r="AB92" s="40"/>
      <c r="AC92" s="40"/>
      <c r="AD92" s="40"/>
      <c r="AE92" s="55"/>
      <c r="AG92" s="36"/>
      <c r="AI92" s="36"/>
      <c r="AJ92" s="36"/>
      <c r="AK92" s="36">
        <v>40000</v>
      </c>
      <c r="AL92" s="36"/>
      <c r="AO92" s="38"/>
      <c r="AP92" s="57"/>
      <c r="AQ92" s="45"/>
      <c r="AR92" s="45"/>
      <c r="BS92" s="37"/>
    </row>
    <row r="93" spans="1:44" s="89" customFormat="1" ht="30">
      <c r="A93" s="89">
        <v>9</v>
      </c>
      <c r="B93" s="83">
        <v>27</v>
      </c>
      <c r="C93" s="83"/>
      <c r="D93" s="83"/>
      <c r="E93" s="84" t="s">
        <v>251</v>
      </c>
      <c r="F93" s="83" t="s">
        <v>93</v>
      </c>
      <c r="G93" s="96" t="s">
        <v>173</v>
      </c>
      <c r="H93" s="236"/>
      <c r="I93" s="256"/>
      <c r="J93" s="193" t="s">
        <v>274</v>
      </c>
      <c r="K93" s="267" t="s">
        <v>52</v>
      </c>
      <c r="L93" s="194"/>
      <c r="M93" s="183"/>
      <c r="N93" s="96"/>
      <c r="O93" s="97"/>
      <c r="P93" s="97"/>
      <c r="Q93" s="85"/>
      <c r="R93" s="86">
        <f>40000+50000*1.1</f>
        <v>95000</v>
      </c>
      <c r="S93" s="85"/>
      <c r="U93" s="86"/>
      <c r="V93" s="86"/>
      <c r="W93" s="156"/>
      <c r="X93" s="156"/>
      <c r="Y93" s="86"/>
      <c r="Z93" s="86"/>
      <c r="AA93" s="85"/>
      <c r="AB93" s="85" t="s">
        <v>174</v>
      </c>
      <c r="AC93" s="85"/>
      <c r="AD93" s="85"/>
      <c r="AE93" s="87" t="s">
        <v>175</v>
      </c>
      <c r="AG93" s="88"/>
      <c r="AH93" s="88"/>
      <c r="AI93" s="88"/>
      <c r="AJ93" s="88"/>
      <c r="AK93" s="88"/>
      <c r="AL93" s="88"/>
      <c r="AN93" s="87" t="s">
        <v>47</v>
      </c>
      <c r="AO93" s="97">
        <f>50000*1.1</f>
        <v>55000.00000000001</v>
      </c>
      <c r="AP93" s="97">
        <f>25000*1.1</f>
        <v>27500.000000000004</v>
      </c>
      <c r="AQ93" s="98" t="s">
        <v>47</v>
      </c>
      <c r="AR93" s="88"/>
    </row>
    <row r="94" spans="1:44" s="89" customFormat="1" ht="30">
      <c r="A94" s="89">
        <v>7</v>
      </c>
      <c r="B94" s="83">
        <v>25</v>
      </c>
      <c r="C94" s="83"/>
      <c r="D94" s="83"/>
      <c r="E94" s="84" t="s">
        <v>281</v>
      </c>
      <c r="F94" s="83" t="s">
        <v>136</v>
      </c>
      <c r="G94" s="90" t="s">
        <v>168</v>
      </c>
      <c r="H94" s="236"/>
      <c r="I94" s="256"/>
      <c r="J94" s="193" t="s">
        <v>204</v>
      </c>
      <c r="K94" s="194" t="s">
        <v>58</v>
      </c>
      <c r="L94" s="194"/>
      <c r="M94" s="183" t="s">
        <v>26</v>
      </c>
      <c r="N94" s="175"/>
      <c r="O94" s="88"/>
      <c r="P94" s="88"/>
      <c r="R94" s="93">
        <v>46000</v>
      </c>
      <c r="U94" s="93"/>
      <c r="V94" s="93"/>
      <c r="W94" s="157"/>
      <c r="X94" s="157"/>
      <c r="Y94" s="93"/>
      <c r="Z94" s="93"/>
      <c r="AB94" s="89" t="s">
        <v>169</v>
      </c>
      <c r="AE94" s="88" t="s">
        <v>170</v>
      </c>
      <c r="AF94" s="94">
        <v>46000</v>
      </c>
      <c r="AG94" s="88"/>
      <c r="AH94" s="94">
        <v>21000</v>
      </c>
      <c r="AI94" s="88"/>
      <c r="AJ94" s="88"/>
      <c r="AK94" s="88"/>
      <c r="AL94" s="88"/>
      <c r="AM94" s="89" t="s">
        <v>122</v>
      </c>
      <c r="AO94" s="95">
        <f>16000*1.1</f>
        <v>17600</v>
      </c>
      <c r="AP94" s="95">
        <f>6000*1.1</f>
        <v>6600.000000000001</v>
      </c>
      <c r="AQ94" s="88" t="s">
        <v>123</v>
      </c>
      <c r="AR94" s="88"/>
    </row>
    <row r="95" spans="1:44" s="29" customFormat="1" ht="23.25">
      <c r="A95" s="29">
        <v>8</v>
      </c>
      <c r="B95" s="30">
        <v>26</v>
      </c>
      <c r="C95" s="31">
        <v>2010</v>
      </c>
      <c r="D95" s="31">
        <v>2012</v>
      </c>
      <c r="E95" s="31"/>
      <c r="F95" s="30" t="s">
        <v>92</v>
      </c>
      <c r="G95" s="32" t="s">
        <v>400</v>
      </c>
      <c r="H95" s="236"/>
      <c r="I95" s="39"/>
      <c r="J95" s="191" t="s">
        <v>204</v>
      </c>
      <c r="K95" s="192" t="s">
        <v>510</v>
      </c>
      <c r="L95" s="45" t="s">
        <v>401</v>
      </c>
      <c r="M95" s="178" t="s">
        <v>486</v>
      </c>
      <c r="N95" s="180" t="s">
        <v>487</v>
      </c>
      <c r="O95" s="36" t="s">
        <v>491</v>
      </c>
      <c r="P95" s="36" t="s">
        <v>402</v>
      </c>
      <c r="Q95" s="29">
        <v>912481</v>
      </c>
      <c r="R95" s="35">
        <v>693981</v>
      </c>
      <c r="U95" s="35"/>
      <c r="V95" s="35"/>
      <c r="W95" s="158">
        <v>231327</v>
      </c>
      <c r="X95" s="158">
        <v>231327</v>
      </c>
      <c r="Y95" s="35">
        <v>231327</v>
      </c>
      <c r="Z95" s="35"/>
      <c r="AB95" s="29" t="s">
        <v>169</v>
      </c>
      <c r="AE95" s="36" t="s">
        <v>357</v>
      </c>
      <c r="AF95" s="133"/>
      <c r="AG95" s="36"/>
      <c r="AH95" s="36"/>
      <c r="AI95" s="36"/>
      <c r="AJ95" s="36"/>
      <c r="AK95" s="36"/>
      <c r="AL95" s="36"/>
      <c r="AO95" s="41"/>
      <c r="AP95" s="41"/>
      <c r="AQ95" s="36"/>
      <c r="AR95" s="36"/>
    </row>
    <row r="96" spans="1:44" s="29" customFormat="1" ht="31.5">
      <c r="A96" s="29">
        <v>28</v>
      </c>
      <c r="C96" s="29">
        <v>2008</v>
      </c>
      <c r="D96" s="29">
        <v>2011</v>
      </c>
      <c r="E96" s="45"/>
      <c r="F96" s="116" t="s">
        <v>325</v>
      </c>
      <c r="G96" s="40" t="s">
        <v>451</v>
      </c>
      <c r="H96" s="238"/>
      <c r="J96" s="45" t="s">
        <v>263</v>
      </c>
      <c r="K96" s="192" t="s">
        <v>452</v>
      </c>
      <c r="L96" s="36" t="s">
        <v>453</v>
      </c>
      <c r="M96" s="178" t="s">
        <v>454</v>
      </c>
      <c r="N96" s="180" t="s">
        <v>488</v>
      </c>
      <c r="O96" s="150" t="s">
        <v>489</v>
      </c>
      <c r="P96" s="36" t="s">
        <v>185</v>
      </c>
      <c r="Q96" s="103"/>
      <c r="T96" s="105"/>
      <c r="U96" s="106">
        <v>20000</v>
      </c>
      <c r="V96" s="106">
        <v>30000</v>
      </c>
      <c r="W96" s="160">
        <v>70000</v>
      </c>
      <c r="X96" s="161"/>
      <c r="AB96" s="40"/>
      <c r="AC96" s="40"/>
      <c r="AD96" s="40"/>
      <c r="AE96" s="41"/>
      <c r="AG96" s="36"/>
      <c r="AH96" s="36"/>
      <c r="AI96" s="36"/>
      <c r="AJ96" s="36"/>
      <c r="AK96" s="36"/>
      <c r="AL96" s="36"/>
      <c r="AO96" s="36"/>
      <c r="AP96" s="36"/>
      <c r="AQ96" s="36"/>
      <c r="AR96" s="36"/>
    </row>
    <row r="97" spans="1:114" s="29" customFormat="1" ht="23.25">
      <c r="A97" s="29">
        <v>57</v>
      </c>
      <c r="B97" s="30"/>
      <c r="C97" s="36">
        <v>2011</v>
      </c>
      <c r="D97" s="36">
        <v>2012</v>
      </c>
      <c r="E97" s="31"/>
      <c r="F97" s="30" t="s">
        <v>502</v>
      </c>
      <c r="G97" s="42" t="s">
        <v>382</v>
      </c>
      <c r="H97" s="241"/>
      <c r="I97" s="39"/>
      <c r="J97" s="178" t="s">
        <v>237</v>
      </c>
      <c r="K97" s="192" t="s">
        <v>543</v>
      </c>
      <c r="L97" s="45" t="s">
        <v>494</v>
      </c>
      <c r="M97" s="178">
        <v>2011</v>
      </c>
      <c r="N97" s="187" t="s">
        <v>483</v>
      </c>
      <c r="O97" s="31" t="s">
        <v>490</v>
      </c>
      <c r="P97" s="31" t="s">
        <v>185</v>
      </c>
      <c r="Q97" s="119"/>
      <c r="R97" s="119"/>
      <c r="S97" s="31"/>
      <c r="T97" s="56"/>
      <c r="U97" s="56"/>
      <c r="V97" s="56"/>
      <c r="W97" s="165"/>
      <c r="X97" s="165">
        <v>43132</v>
      </c>
      <c r="Y97" s="56"/>
      <c r="Z97" s="56"/>
      <c r="AA97" s="40"/>
      <c r="AB97" s="40"/>
      <c r="AC97" s="40"/>
      <c r="AD97" s="40"/>
      <c r="AE97" s="55"/>
      <c r="AG97" s="121"/>
      <c r="AI97" s="36"/>
      <c r="AJ97" s="36"/>
      <c r="AK97" s="36"/>
      <c r="AL97" s="36"/>
      <c r="AO97" s="38"/>
      <c r="AP97" s="57"/>
      <c r="AQ97" s="45"/>
      <c r="AR97" s="45"/>
      <c r="BS97" s="37"/>
      <c r="DJ97" s="122"/>
    </row>
    <row r="98" spans="1:114" s="1" customFormat="1" ht="23.25">
      <c r="A98" s="1">
        <v>60</v>
      </c>
      <c r="B98" s="38" t="s">
        <v>151</v>
      </c>
      <c r="C98" s="31">
        <v>2008</v>
      </c>
      <c r="D98" s="29">
        <v>2011</v>
      </c>
      <c r="E98" s="36"/>
      <c r="F98" s="30" t="s">
        <v>326</v>
      </c>
      <c r="G98" s="32" t="s">
        <v>308</v>
      </c>
      <c r="H98" s="241"/>
      <c r="I98" s="29"/>
      <c r="J98" s="180" t="s">
        <v>223</v>
      </c>
      <c r="K98" s="192" t="s">
        <v>545</v>
      </c>
      <c r="L98" s="45" t="s">
        <v>216</v>
      </c>
      <c r="M98" s="178"/>
      <c r="N98" s="187" t="s">
        <v>343</v>
      </c>
      <c r="O98" s="31" t="s">
        <v>493</v>
      </c>
      <c r="P98" s="36"/>
      <c r="Q98" s="31">
        <v>300000</v>
      </c>
      <c r="R98" s="103"/>
      <c r="S98" s="109"/>
      <c r="T98" s="110"/>
      <c r="U98" s="56">
        <v>100000</v>
      </c>
      <c r="V98" s="56">
        <v>100000</v>
      </c>
      <c r="W98" s="165">
        <v>100000</v>
      </c>
      <c r="X98" s="167"/>
      <c r="Y98" s="36"/>
      <c r="Z98" s="36"/>
      <c r="AA98" s="29"/>
      <c r="AB98" s="29"/>
      <c r="AC98" s="29"/>
      <c r="AD98" s="29"/>
      <c r="AE98" s="36"/>
      <c r="AF98" s="29"/>
      <c r="AG98" s="36"/>
      <c r="AH98" s="36"/>
      <c r="AI98" s="36"/>
      <c r="AJ98" s="36"/>
      <c r="AK98" s="36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DJ98" s="1" t="s">
        <v>327</v>
      </c>
    </row>
    <row r="99" spans="1:56" s="1" customFormat="1" ht="36">
      <c r="A99" s="1">
        <v>65</v>
      </c>
      <c r="B99" s="38"/>
      <c r="C99" s="31">
        <v>2009</v>
      </c>
      <c r="D99" s="29">
        <v>2012</v>
      </c>
      <c r="E99" s="36"/>
      <c r="F99" s="30" t="s">
        <v>450</v>
      </c>
      <c r="G99" s="32" t="s">
        <v>519</v>
      </c>
      <c r="H99" s="243"/>
      <c r="I99" s="29"/>
      <c r="J99" s="180" t="s">
        <v>204</v>
      </c>
      <c r="K99" s="192" t="s">
        <v>534</v>
      </c>
      <c r="L99" s="45"/>
      <c r="M99" s="178" t="s">
        <v>370</v>
      </c>
      <c r="N99" s="187" t="s">
        <v>487</v>
      </c>
      <c r="O99" s="31" t="s">
        <v>491</v>
      </c>
      <c r="P99" s="36"/>
      <c r="Q99" s="31">
        <v>647591</v>
      </c>
      <c r="R99" s="38">
        <v>193275</v>
      </c>
      <c r="S99" s="109"/>
      <c r="T99" s="110"/>
      <c r="U99" s="31"/>
      <c r="V99" s="31"/>
      <c r="W99" s="165">
        <f>R99/3</f>
        <v>64425</v>
      </c>
      <c r="X99" s="165">
        <v>64425</v>
      </c>
      <c r="Y99" s="56">
        <v>64425</v>
      </c>
      <c r="Z99" s="56"/>
      <c r="AA99" s="35"/>
      <c r="AB99" s="29"/>
      <c r="AC99" s="29"/>
      <c r="AD99" s="29"/>
      <c r="AE99" s="36"/>
      <c r="AF99" s="29"/>
      <c r="AG99" s="36"/>
      <c r="AH99" s="36"/>
      <c r="AI99" s="36"/>
      <c r="AJ99" s="36"/>
      <c r="AK99" s="36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</row>
    <row r="100" spans="1:56" s="1" customFormat="1" ht="30">
      <c r="A100" s="1">
        <v>66</v>
      </c>
      <c r="B100" s="38"/>
      <c r="C100" s="31">
        <v>2011</v>
      </c>
      <c r="D100" s="29"/>
      <c r="E100" s="36"/>
      <c r="F100" s="116" t="s">
        <v>325</v>
      </c>
      <c r="G100" s="32" t="s">
        <v>480</v>
      </c>
      <c r="H100" s="243"/>
      <c r="I100" s="29"/>
      <c r="J100" s="180" t="s">
        <v>254</v>
      </c>
      <c r="K100" s="192" t="s">
        <v>549</v>
      </c>
      <c r="L100" s="45" t="s">
        <v>481</v>
      </c>
      <c r="M100" s="178" t="s">
        <v>482</v>
      </c>
      <c r="N100" s="187" t="s">
        <v>483</v>
      </c>
      <c r="O100" s="31" t="s">
        <v>257</v>
      </c>
      <c r="P100" s="36"/>
      <c r="Q100" s="31"/>
      <c r="R100" s="55">
        <v>180000</v>
      </c>
      <c r="S100" s="109"/>
      <c r="T100" s="110"/>
      <c r="U100" s="31"/>
      <c r="V100" s="31"/>
      <c r="W100" s="165"/>
      <c r="X100" s="165">
        <v>180000</v>
      </c>
      <c r="Y100" s="56"/>
      <c r="Z100" s="56"/>
      <c r="AA100" s="35"/>
      <c r="AB100" s="29"/>
      <c r="AC100" s="29"/>
      <c r="AD100" s="29"/>
      <c r="AE100" s="36" t="s">
        <v>422</v>
      </c>
      <c r="AF100" s="29"/>
      <c r="AG100" s="36"/>
      <c r="AH100" s="36"/>
      <c r="AI100" s="36"/>
      <c r="AJ100" s="36"/>
      <c r="AK100" s="36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</row>
    <row r="101" spans="1:44" s="1" customFormat="1" ht="30">
      <c r="A101" s="1">
        <v>100</v>
      </c>
      <c r="C101" s="29"/>
      <c r="D101" s="29"/>
      <c r="E101" s="45"/>
      <c r="F101" s="116"/>
      <c r="G101" s="210" t="s">
        <v>405</v>
      </c>
      <c r="H101" s="211"/>
      <c r="I101" s="212"/>
      <c r="J101" s="213" t="s">
        <v>407</v>
      </c>
      <c r="K101" s="214"/>
      <c r="L101" s="215"/>
      <c r="M101" s="216" t="s">
        <v>496</v>
      </c>
      <c r="N101" s="217"/>
      <c r="O101" s="218"/>
      <c r="P101" s="218"/>
      <c r="Q101" s="219"/>
      <c r="R101" s="219"/>
      <c r="S101" s="220"/>
      <c r="T101" s="220"/>
      <c r="U101" s="220"/>
      <c r="V101" s="220"/>
      <c r="W101" s="220"/>
      <c r="X101" s="221"/>
      <c r="Y101" s="36"/>
      <c r="Z101" s="36"/>
      <c r="AA101" s="29"/>
      <c r="AB101" s="29"/>
      <c r="AC101" s="29"/>
      <c r="AD101" s="29"/>
      <c r="AE101" s="36"/>
      <c r="AF101" s="29"/>
      <c r="AG101" s="36"/>
      <c r="AH101" s="36"/>
      <c r="AI101" s="36"/>
      <c r="AJ101" s="36"/>
      <c r="AK101" s="36"/>
      <c r="AL101" s="36"/>
      <c r="AM101" s="29"/>
      <c r="AO101" s="2"/>
      <c r="AP101" s="2"/>
      <c r="AQ101" s="2"/>
      <c r="AR101" s="2"/>
    </row>
    <row r="102" spans="1:44" s="1" customFormat="1" ht="30">
      <c r="A102" s="1">
        <v>101</v>
      </c>
      <c r="C102" s="29"/>
      <c r="D102" s="29"/>
      <c r="E102" s="45"/>
      <c r="F102" s="116"/>
      <c r="G102" s="222" t="s">
        <v>476</v>
      </c>
      <c r="H102" s="211"/>
      <c r="I102" s="212"/>
      <c r="J102" s="213" t="s">
        <v>263</v>
      </c>
      <c r="K102" s="214"/>
      <c r="L102" s="215"/>
      <c r="M102" s="216" t="s">
        <v>496</v>
      </c>
      <c r="N102" s="217"/>
      <c r="O102" s="218"/>
      <c r="P102" s="218"/>
      <c r="Q102" s="219"/>
      <c r="R102" s="219"/>
      <c r="S102" s="220"/>
      <c r="T102" s="220"/>
      <c r="U102" s="220"/>
      <c r="V102" s="220"/>
      <c r="W102" s="220"/>
      <c r="X102" s="221"/>
      <c r="Y102" s="36"/>
      <c r="Z102" s="36"/>
      <c r="AA102" s="29"/>
      <c r="AB102" s="29"/>
      <c r="AC102" s="29"/>
      <c r="AD102" s="29"/>
      <c r="AE102" s="36"/>
      <c r="AF102" s="29"/>
      <c r="AG102" s="36"/>
      <c r="AH102" s="36"/>
      <c r="AI102" s="36"/>
      <c r="AJ102" s="36"/>
      <c r="AK102" s="36"/>
      <c r="AL102" s="36"/>
      <c r="AM102" s="29"/>
      <c r="AO102" s="2"/>
      <c r="AP102" s="2"/>
      <c r="AQ102" s="2"/>
      <c r="AR102" s="2"/>
    </row>
    <row r="103" spans="1:44" s="141" customFormat="1" ht="27.75">
      <c r="A103" s="141">
        <v>102</v>
      </c>
      <c r="E103" s="174"/>
      <c r="G103" s="40" t="s">
        <v>497</v>
      </c>
      <c r="H103" s="205"/>
      <c r="I103" s="205"/>
      <c r="J103" s="206"/>
      <c r="K103" s="200"/>
      <c r="L103" s="200"/>
      <c r="M103" s="178"/>
      <c r="N103" s="42"/>
      <c r="O103" s="44"/>
      <c r="P103" s="44"/>
      <c r="Q103" s="40"/>
      <c r="R103" s="40"/>
      <c r="S103" s="207">
        <f>SUM(S2:S99)</f>
        <v>1270354.3066889632</v>
      </c>
      <c r="T103" s="208">
        <f>SUM(T2:T99)</f>
        <v>1805657.3152999608</v>
      </c>
      <c r="U103" s="208">
        <f>SUM(U2:U99)</f>
        <v>2474668.972642141</v>
      </c>
      <c r="V103" s="208">
        <f>SUM(V2:V99)</f>
        <v>3038762.913043479</v>
      </c>
      <c r="W103" s="209">
        <f>SUM(W2:W99)</f>
        <v>3827198.103216276</v>
      </c>
      <c r="X103" s="209">
        <f>SUM(X2:X100)</f>
        <v>2523568.2983333333</v>
      </c>
      <c r="Y103" s="174"/>
      <c r="Z103" s="174"/>
      <c r="AE103" s="174"/>
      <c r="AG103" s="174"/>
      <c r="AH103" s="174"/>
      <c r="AI103" s="174"/>
      <c r="AJ103" s="174"/>
      <c r="AK103" s="174"/>
      <c r="AL103" s="174"/>
      <c r="AO103" s="174"/>
      <c r="AP103" s="174"/>
      <c r="AQ103" s="174"/>
      <c r="AR103" s="174"/>
    </row>
    <row r="104" spans="5:44" s="1" customFormat="1" ht="27">
      <c r="E104" s="4"/>
      <c r="H104" s="5"/>
      <c r="I104" s="5"/>
      <c r="J104" s="5"/>
      <c r="K104" s="6"/>
      <c r="L104" s="6"/>
      <c r="P104" s="2"/>
      <c r="T104" s="2"/>
      <c r="U104" s="2"/>
      <c r="V104" s="2"/>
      <c r="W104" s="172"/>
      <c r="X104" s="172"/>
      <c r="Y104" s="2"/>
      <c r="Z104" s="2"/>
      <c r="AE104" s="2"/>
      <c r="AG104" s="2"/>
      <c r="AH104" s="2"/>
      <c r="AI104" s="2"/>
      <c r="AJ104" s="2"/>
      <c r="AK104" s="2"/>
      <c r="AL104" s="2"/>
      <c r="AO104" s="2"/>
      <c r="AP104" s="2"/>
      <c r="AQ104" s="2"/>
      <c r="AR104" s="2"/>
    </row>
    <row r="105" spans="5:44" s="1" customFormat="1" ht="27">
      <c r="E105" s="4"/>
      <c r="H105" s="5"/>
      <c r="I105" s="5"/>
      <c r="J105" s="5"/>
      <c r="K105" s="6"/>
      <c r="L105" s="6"/>
      <c r="P105" s="2"/>
      <c r="T105" s="2"/>
      <c r="U105" s="2"/>
      <c r="V105" s="2"/>
      <c r="W105" s="172"/>
      <c r="X105" s="172"/>
      <c r="Y105" s="2"/>
      <c r="Z105" s="2"/>
      <c r="AE105" s="2"/>
      <c r="AG105" s="2"/>
      <c r="AH105" s="2"/>
      <c r="AI105" s="2"/>
      <c r="AJ105" s="2"/>
      <c r="AK105" s="2"/>
      <c r="AL105" s="2"/>
      <c r="AO105" s="2"/>
      <c r="AP105" s="2"/>
      <c r="AQ105" s="2"/>
      <c r="AR105" s="2"/>
    </row>
    <row r="106" spans="5:44" s="1" customFormat="1" ht="27">
      <c r="E106" s="4"/>
      <c r="H106" s="5"/>
      <c r="I106" s="5"/>
      <c r="J106" s="5"/>
      <c r="K106" s="6"/>
      <c r="L106" s="6"/>
      <c r="P106" s="2"/>
      <c r="T106" s="2"/>
      <c r="U106" s="2"/>
      <c r="V106" s="2"/>
      <c r="W106" s="172"/>
      <c r="X106" s="172"/>
      <c r="Y106" s="2"/>
      <c r="Z106" s="2"/>
      <c r="AE106" s="2"/>
      <c r="AG106" s="2"/>
      <c r="AH106" s="2"/>
      <c r="AI106" s="2"/>
      <c r="AJ106" s="2"/>
      <c r="AK106" s="2"/>
      <c r="AL106" s="2"/>
      <c r="AO106" s="2"/>
      <c r="AP106" s="2"/>
      <c r="AQ106" s="2"/>
      <c r="AR106" s="2"/>
    </row>
    <row r="107" spans="5:44" s="1" customFormat="1" ht="27">
      <c r="E107" s="4"/>
      <c r="H107" s="5"/>
      <c r="I107" s="5"/>
      <c r="J107" s="5"/>
      <c r="K107" s="6"/>
      <c r="L107" s="6"/>
      <c r="P107" s="2"/>
      <c r="T107" s="2"/>
      <c r="U107" s="2"/>
      <c r="V107" s="2"/>
      <c r="W107" s="172"/>
      <c r="X107" s="172"/>
      <c r="Y107" s="2"/>
      <c r="Z107" s="2"/>
      <c r="AE107" s="2"/>
      <c r="AG107" s="2"/>
      <c r="AH107" s="2"/>
      <c r="AI107" s="2"/>
      <c r="AJ107" s="2"/>
      <c r="AK107" s="2"/>
      <c r="AL107" s="2"/>
      <c r="AO107" s="2"/>
      <c r="AP107" s="2"/>
      <c r="AQ107" s="2"/>
      <c r="AR107" s="2"/>
    </row>
    <row r="108" spans="5:44" s="1" customFormat="1" ht="27">
      <c r="E108" s="4"/>
      <c r="H108" s="5"/>
      <c r="I108" s="5"/>
      <c r="J108" s="5"/>
      <c r="K108" s="6"/>
      <c r="L108" s="6"/>
      <c r="P108" s="2"/>
      <c r="T108" s="2"/>
      <c r="U108" s="2"/>
      <c r="V108" s="2"/>
      <c r="W108" s="172"/>
      <c r="X108" s="172"/>
      <c r="Y108" s="2"/>
      <c r="Z108" s="2"/>
      <c r="AE108" s="2"/>
      <c r="AG108" s="2"/>
      <c r="AH108" s="2"/>
      <c r="AI108" s="2"/>
      <c r="AJ108" s="2"/>
      <c r="AK108" s="2"/>
      <c r="AL108" s="2"/>
      <c r="AO108" s="2"/>
      <c r="AP108" s="2"/>
      <c r="AQ108" s="2"/>
      <c r="AR108" s="2"/>
    </row>
    <row r="109" spans="5:44" s="1" customFormat="1" ht="27">
      <c r="E109" s="4"/>
      <c r="H109" s="5"/>
      <c r="I109" s="5"/>
      <c r="J109" s="5"/>
      <c r="K109" s="6"/>
      <c r="L109" s="6"/>
      <c r="P109" s="2"/>
      <c r="T109" s="2"/>
      <c r="U109" s="2"/>
      <c r="V109" s="2"/>
      <c r="W109" s="172"/>
      <c r="X109" s="172"/>
      <c r="Y109" s="2"/>
      <c r="Z109" s="2"/>
      <c r="AE109" s="2"/>
      <c r="AG109" s="2"/>
      <c r="AH109" s="2"/>
      <c r="AI109" s="2"/>
      <c r="AJ109" s="2"/>
      <c r="AK109" s="2"/>
      <c r="AL109" s="2"/>
      <c r="AO109" s="2"/>
      <c r="AP109" s="2"/>
      <c r="AQ109" s="2"/>
      <c r="AR109" s="2"/>
    </row>
    <row r="110" spans="5:44" s="1" customFormat="1" ht="27">
      <c r="E110" s="4"/>
      <c r="H110" s="5"/>
      <c r="I110" s="5"/>
      <c r="J110" s="5"/>
      <c r="K110" s="6"/>
      <c r="L110" s="6"/>
      <c r="P110" s="2"/>
      <c r="T110" s="2"/>
      <c r="U110" s="2"/>
      <c r="V110" s="2"/>
      <c r="W110" s="172"/>
      <c r="X110" s="172"/>
      <c r="Y110" s="2"/>
      <c r="Z110" s="2"/>
      <c r="AE110" s="2"/>
      <c r="AG110" s="2"/>
      <c r="AH110" s="2"/>
      <c r="AI110" s="2"/>
      <c r="AJ110" s="2"/>
      <c r="AK110" s="2"/>
      <c r="AL110" s="2"/>
      <c r="AO110" s="2"/>
      <c r="AP110" s="2"/>
      <c r="AQ110" s="2"/>
      <c r="AR110" s="2"/>
    </row>
    <row r="111" spans="5:44" s="1" customFormat="1" ht="27">
      <c r="E111" s="4"/>
      <c r="H111" s="5"/>
      <c r="I111" s="5"/>
      <c r="J111" s="5"/>
      <c r="K111" s="6"/>
      <c r="L111" s="6"/>
      <c r="P111" s="2"/>
      <c r="T111" s="2"/>
      <c r="U111" s="2"/>
      <c r="V111" s="2"/>
      <c r="W111" s="172"/>
      <c r="X111" s="172"/>
      <c r="Y111" s="2"/>
      <c r="Z111" s="2"/>
      <c r="AE111" s="2"/>
      <c r="AG111" s="2"/>
      <c r="AH111" s="2"/>
      <c r="AI111" s="2"/>
      <c r="AJ111" s="2"/>
      <c r="AK111" s="2"/>
      <c r="AL111" s="2"/>
      <c r="AO111" s="2"/>
      <c r="AP111" s="2"/>
      <c r="AQ111" s="2"/>
      <c r="AR111" s="2"/>
    </row>
    <row r="112" spans="5:44" s="1" customFormat="1" ht="27">
      <c r="E112" s="4"/>
      <c r="H112" s="5"/>
      <c r="I112" s="5"/>
      <c r="J112" s="5"/>
      <c r="K112" s="6"/>
      <c r="L112" s="6"/>
      <c r="P112" s="2"/>
      <c r="T112" s="2"/>
      <c r="U112" s="2"/>
      <c r="V112" s="2"/>
      <c r="W112" s="172"/>
      <c r="X112" s="172"/>
      <c r="Y112" s="2"/>
      <c r="Z112" s="2"/>
      <c r="AE112" s="2"/>
      <c r="AG112" s="2"/>
      <c r="AH112" s="2"/>
      <c r="AI112" s="2"/>
      <c r="AJ112" s="2"/>
      <c r="AK112" s="2"/>
      <c r="AL112" s="2"/>
      <c r="AO112" s="2"/>
      <c r="AP112" s="2"/>
      <c r="AQ112" s="2"/>
      <c r="AR112" s="2"/>
    </row>
    <row r="113" spans="5:44" s="1" customFormat="1" ht="27">
      <c r="E113" s="4"/>
      <c r="H113" s="5"/>
      <c r="I113" s="5"/>
      <c r="J113" s="5"/>
      <c r="K113" s="6"/>
      <c r="L113" s="6"/>
      <c r="P113" s="2"/>
      <c r="T113" s="2"/>
      <c r="U113" s="2"/>
      <c r="V113" s="2"/>
      <c r="W113" s="172"/>
      <c r="X113" s="172"/>
      <c r="Y113" s="2"/>
      <c r="Z113" s="2"/>
      <c r="AE113" s="2"/>
      <c r="AG113" s="2"/>
      <c r="AH113" s="2"/>
      <c r="AI113" s="2"/>
      <c r="AJ113" s="2"/>
      <c r="AK113" s="2"/>
      <c r="AL113" s="2"/>
      <c r="AO113" s="2"/>
      <c r="AP113" s="2"/>
      <c r="AQ113" s="2"/>
      <c r="AR113" s="2"/>
    </row>
    <row r="114" spans="5:44" s="1" customFormat="1" ht="27">
      <c r="E114" s="4"/>
      <c r="H114" s="5"/>
      <c r="I114" s="5"/>
      <c r="J114" s="5"/>
      <c r="K114" s="6"/>
      <c r="L114" s="6"/>
      <c r="P114" s="2"/>
      <c r="T114" s="2"/>
      <c r="U114" s="2"/>
      <c r="V114" s="2"/>
      <c r="W114" s="172"/>
      <c r="X114" s="172"/>
      <c r="Y114" s="2"/>
      <c r="Z114" s="2"/>
      <c r="AE114" s="2"/>
      <c r="AG114" s="2"/>
      <c r="AH114" s="2"/>
      <c r="AI114" s="2"/>
      <c r="AJ114" s="2"/>
      <c r="AK114" s="2"/>
      <c r="AL114" s="2"/>
      <c r="AO114" s="2"/>
      <c r="AP114" s="2"/>
      <c r="AQ114" s="2"/>
      <c r="AR114" s="2"/>
    </row>
    <row r="115" spans="5:44" s="1" customFormat="1" ht="27">
      <c r="E115" s="4"/>
      <c r="H115" s="5"/>
      <c r="I115" s="5"/>
      <c r="J115" s="5"/>
      <c r="K115" s="6"/>
      <c r="L115" s="6"/>
      <c r="P115" s="2"/>
      <c r="T115" s="2"/>
      <c r="U115" s="2"/>
      <c r="V115" s="2"/>
      <c r="W115" s="172"/>
      <c r="X115" s="172"/>
      <c r="Y115" s="2"/>
      <c r="Z115" s="2"/>
      <c r="AE115" s="2"/>
      <c r="AG115" s="2"/>
      <c r="AH115" s="2"/>
      <c r="AI115" s="2"/>
      <c r="AJ115" s="2"/>
      <c r="AK115" s="2"/>
      <c r="AL115" s="2"/>
      <c r="AO115" s="2"/>
      <c r="AP115" s="2"/>
      <c r="AQ115" s="2"/>
      <c r="AR115" s="2"/>
    </row>
    <row r="116" spans="5:44" s="1" customFormat="1" ht="27">
      <c r="E116" s="4"/>
      <c r="H116" s="5"/>
      <c r="I116" s="5"/>
      <c r="J116" s="5"/>
      <c r="K116" s="6"/>
      <c r="L116" s="6"/>
      <c r="P116" s="2"/>
      <c r="T116" s="2"/>
      <c r="U116" s="2"/>
      <c r="V116" s="2"/>
      <c r="W116" s="172"/>
      <c r="X116" s="172"/>
      <c r="Y116" s="2"/>
      <c r="Z116" s="2"/>
      <c r="AE116" s="2"/>
      <c r="AG116" s="2"/>
      <c r="AH116" s="2"/>
      <c r="AI116" s="2"/>
      <c r="AJ116" s="2"/>
      <c r="AK116" s="2"/>
      <c r="AL116" s="2"/>
      <c r="AO116" s="2"/>
      <c r="AP116" s="2"/>
      <c r="AQ116" s="2"/>
      <c r="AR116" s="2"/>
    </row>
    <row r="117" spans="5:44" s="1" customFormat="1" ht="27">
      <c r="E117" s="4"/>
      <c r="H117" s="5"/>
      <c r="I117" s="5"/>
      <c r="J117" s="5"/>
      <c r="K117" s="6"/>
      <c r="L117" s="6"/>
      <c r="P117" s="2"/>
      <c r="T117" s="2"/>
      <c r="U117" s="2"/>
      <c r="V117" s="2"/>
      <c r="W117" s="172"/>
      <c r="X117" s="172"/>
      <c r="Y117" s="2"/>
      <c r="Z117" s="2"/>
      <c r="AE117" s="2"/>
      <c r="AG117" s="2"/>
      <c r="AH117" s="2"/>
      <c r="AI117" s="2"/>
      <c r="AJ117" s="2"/>
      <c r="AK117" s="2"/>
      <c r="AL117" s="2"/>
      <c r="AO117" s="2"/>
      <c r="AP117" s="2"/>
      <c r="AQ117" s="2"/>
      <c r="AR117" s="2"/>
    </row>
    <row r="118" spans="5:44" s="1" customFormat="1" ht="27">
      <c r="E118" s="4"/>
      <c r="H118" s="5"/>
      <c r="I118" s="5"/>
      <c r="J118" s="5"/>
      <c r="K118" s="6"/>
      <c r="L118" s="6"/>
      <c r="P118" s="2"/>
      <c r="T118" s="2"/>
      <c r="U118" s="2"/>
      <c r="V118" s="2"/>
      <c r="W118" s="172"/>
      <c r="X118" s="172"/>
      <c r="Y118" s="2"/>
      <c r="Z118" s="2"/>
      <c r="AE118" s="2"/>
      <c r="AG118" s="2"/>
      <c r="AH118" s="2"/>
      <c r="AI118" s="2"/>
      <c r="AJ118" s="2"/>
      <c r="AK118" s="2"/>
      <c r="AL118" s="2"/>
      <c r="AO118" s="2"/>
      <c r="AP118" s="2"/>
      <c r="AQ118" s="2"/>
      <c r="AR118" s="2"/>
    </row>
    <row r="119" spans="5:44" s="1" customFormat="1" ht="27">
      <c r="E119" s="4"/>
      <c r="H119" s="5"/>
      <c r="I119" s="5"/>
      <c r="J119" s="5"/>
      <c r="K119" s="6"/>
      <c r="L119" s="6"/>
      <c r="P119" s="2"/>
      <c r="T119" s="2"/>
      <c r="U119" s="2"/>
      <c r="V119" s="2"/>
      <c r="W119" s="172"/>
      <c r="X119" s="172"/>
      <c r="Y119" s="2"/>
      <c r="Z119" s="2"/>
      <c r="AE119" s="2"/>
      <c r="AG119" s="2"/>
      <c r="AH119" s="2"/>
      <c r="AI119" s="2"/>
      <c r="AJ119" s="2"/>
      <c r="AK119" s="2"/>
      <c r="AL119" s="2"/>
      <c r="AO119" s="2"/>
      <c r="AP119" s="2"/>
      <c r="AQ119" s="2"/>
      <c r="AR119" s="2"/>
    </row>
    <row r="120" spans="5:44" s="1" customFormat="1" ht="27">
      <c r="E120" s="4"/>
      <c r="H120" s="5"/>
      <c r="I120" s="5"/>
      <c r="J120" s="5"/>
      <c r="K120" s="6"/>
      <c r="L120" s="6"/>
      <c r="P120" s="2"/>
      <c r="T120" s="2"/>
      <c r="U120" s="2"/>
      <c r="V120" s="2"/>
      <c r="W120" s="172"/>
      <c r="X120" s="172"/>
      <c r="Y120" s="2"/>
      <c r="Z120" s="2"/>
      <c r="AE120" s="2"/>
      <c r="AG120" s="2"/>
      <c r="AH120" s="2"/>
      <c r="AI120" s="2"/>
      <c r="AJ120" s="2"/>
      <c r="AK120" s="2"/>
      <c r="AL120" s="2"/>
      <c r="AO120" s="2"/>
      <c r="AP120" s="2"/>
      <c r="AQ120" s="2"/>
      <c r="AR120" s="2"/>
    </row>
    <row r="121" spans="5:44" s="1" customFormat="1" ht="27">
      <c r="E121" s="4"/>
      <c r="H121" s="5"/>
      <c r="I121" s="5"/>
      <c r="J121" s="5"/>
      <c r="K121" s="6"/>
      <c r="L121" s="6"/>
      <c r="P121" s="2"/>
      <c r="T121" s="2"/>
      <c r="U121" s="2"/>
      <c r="V121" s="2"/>
      <c r="W121" s="172"/>
      <c r="X121" s="172"/>
      <c r="Y121" s="2"/>
      <c r="Z121" s="2"/>
      <c r="AE121" s="2"/>
      <c r="AG121" s="2"/>
      <c r="AH121" s="2"/>
      <c r="AI121" s="2"/>
      <c r="AJ121" s="2"/>
      <c r="AK121" s="2"/>
      <c r="AL121" s="2"/>
      <c r="AO121" s="2"/>
      <c r="AP121" s="2"/>
      <c r="AQ121" s="2"/>
      <c r="AR121" s="2"/>
    </row>
    <row r="122" spans="5:44" s="1" customFormat="1" ht="27">
      <c r="E122" s="4"/>
      <c r="H122" s="5"/>
      <c r="I122" s="5"/>
      <c r="J122" s="5"/>
      <c r="K122" s="6"/>
      <c r="L122" s="6"/>
      <c r="P122" s="2"/>
      <c r="T122" s="2"/>
      <c r="U122" s="2"/>
      <c r="V122" s="2"/>
      <c r="W122" s="172"/>
      <c r="X122" s="172"/>
      <c r="Y122" s="2"/>
      <c r="Z122" s="2"/>
      <c r="AE122" s="2"/>
      <c r="AG122" s="2"/>
      <c r="AH122" s="2"/>
      <c r="AI122" s="2"/>
      <c r="AJ122" s="2"/>
      <c r="AK122" s="2"/>
      <c r="AL122" s="2"/>
      <c r="AO122" s="2"/>
      <c r="AP122" s="2"/>
      <c r="AQ122" s="2"/>
      <c r="AR122" s="2"/>
    </row>
    <row r="123" spans="5:44" s="1" customFormat="1" ht="27">
      <c r="E123" s="4"/>
      <c r="H123" s="5"/>
      <c r="I123" s="5"/>
      <c r="J123" s="5"/>
      <c r="K123" s="6"/>
      <c r="L123" s="6"/>
      <c r="P123" s="2"/>
      <c r="T123" s="2"/>
      <c r="U123" s="2"/>
      <c r="V123" s="2"/>
      <c r="W123" s="172"/>
      <c r="X123" s="172"/>
      <c r="Y123" s="2"/>
      <c r="Z123" s="2"/>
      <c r="AE123" s="2"/>
      <c r="AG123" s="2"/>
      <c r="AH123" s="2"/>
      <c r="AI123" s="2"/>
      <c r="AJ123" s="2"/>
      <c r="AK123" s="2"/>
      <c r="AL123" s="2"/>
      <c r="AO123" s="2"/>
      <c r="AP123" s="2"/>
      <c r="AQ123" s="2"/>
      <c r="AR123" s="2"/>
    </row>
    <row r="124" spans="5:44" s="1" customFormat="1" ht="27">
      <c r="E124" s="4"/>
      <c r="H124" s="5"/>
      <c r="I124" s="5"/>
      <c r="J124" s="5"/>
      <c r="K124" s="6"/>
      <c r="L124" s="6"/>
      <c r="P124" s="2"/>
      <c r="T124" s="2"/>
      <c r="U124" s="2"/>
      <c r="V124" s="2"/>
      <c r="W124" s="172"/>
      <c r="X124" s="172"/>
      <c r="Y124" s="2"/>
      <c r="Z124" s="2"/>
      <c r="AE124" s="2"/>
      <c r="AG124" s="2"/>
      <c r="AH124" s="2"/>
      <c r="AI124" s="2"/>
      <c r="AJ124" s="2"/>
      <c r="AK124" s="2"/>
      <c r="AL124" s="2"/>
      <c r="AO124" s="2"/>
      <c r="AP124" s="2"/>
      <c r="AQ124" s="2"/>
      <c r="AR124" s="2"/>
    </row>
    <row r="125" spans="5:44" s="1" customFormat="1" ht="27">
      <c r="E125" s="4"/>
      <c r="H125" s="5"/>
      <c r="I125" s="5"/>
      <c r="J125" s="5"/>
      <c r="K125" s="6"/>
      <c r="L125" s="6"/>
      <c r="P125" s="2"/>
      <c r="T125" s="2"/>
      <c r="U125" s="2"/>
      <c r="V125" s="2"/>
      <c r="W125" s="172"/>
      <c r="X125" s="172"/>
      <c r="Y125" s="2"/>
      <c r="Z125" s="2"/>
      <c r="AE125" s="2"/>
      <c r="AG125" s="2"/>
      <c r="AH125" s="2"/>
      <c r="AI125" s="2"/>
      <c r="AJ125" s="2"/>
      <c r="AK125" s="2"/>
      <c r="AL125" s="2"/>
      <c r="AO125" s="2"/>
      <c r="AP125" s="2"/>
      <c r="AQ125" s="2"/>
      <c r="AR125" s="2"/>
    </row>
    <row r="126" spans="5:44" s="1" customFormat="1" ht="27">
      <c r="E126" s="4"/>
      <c r="H126" s="5"/>
      <c r="I126" s="5"/>
      <c r="J126" s="5"/>
      <c r="K126" s="6"/>
      <c r="L126" s="6"/>
      <c r="P126" s="2"/>
      <c r="T126" s="2"/>
      <c r="U126" s="2"/>
      <c r="V126" s="2"/>
      <c r="W126" s="172"/>
      <c r="X126" s="172"/>
      <c r="Y126" s="2"/>
      <c r="Z126" s="2"/>
      <c r="AE126" s="2"/>
      <c r="AG126" s="2"/>
      <c r="AH126" s="2"/>
      <c r="AI126" s="2"/>
      <c r="AJ126" s="2"/>
      <c r="AK126" s="2"/>
      <c r="AL126" s="2"/>
      <c r="AO126" s="2"/>
      <c r="AP126" s="2"/>
      <c r="AQ126" s="2"/>
      <c r="AR126" s="2"/>
    </row>
    <row r="127" spans="5:44" s="1" customFormat="1" ht="27">
      <c r="E127" s="4"/>
      <c r="H127" s="5"/>
      <c r="I127" s="5"/>
      <c r="J127" s="5"/>
      <c r="K127" s="6"/>
      <c r="L127" s="6"/>
      <c r="P127" s="2"/>
      <c r="T127" s="2"/>
      <c r="U127" s="2"/>
      <c r="V127" s="2"/>
      <c r="W127" s="172"/>
      <c r="X127" s="172"/>
      <c r="Y127" s="2"/>
      <c r="Z127" s="2"/>
      <c r="AE127" s="2"/>
      <c r="AG127" s="2"/>
      <c r="AH127" s="2"/>
      <c r="AI127" s="2"/>
      <c r="AJ127" s="2"/>
      <c r="AK127" s="2"/>
      <c r="AL127" s="2"/>
      <c r="AO127" s="2"/>
      <c r="AP127" s="2"/>
      <c r="AQ127" s="2"/>
      <c r="AR127" s="2"/>
    </row>
    <row r="128" spans="5:44" s="1" customFormat="1" ht="27">
      <c r="E128" s="4"/>
      <c r="H128" s="5"/>
      <c r="I128" s="9"/>
      <c r="J128" s="9"/>
      <c r="K128" s="6"/>
      <c r="L128" s="6"/>
      <c r="P128" s="2"/>
      <c r="T128" s="2"/>
      <c r="U128" s="2"/>
      <c r="V128" s="2"/>
      <c r="W128" s="172"/>
      <c r="X128" s="172"/>
      <c r="Y128" s="2"/>
      <c r="Z128" s="2"/>
      <c r="AE128" s="2"/>
      <c r="AG128" s="2"/>
      <c r="AH128" s="2"/>
      <c r="AI128" s="2"/>
      <c r="AJ128" s="2"/>
      <c r="AK128" s="2"/>
      <c r="AL128" s="2"/>
      <c r="AO128" s="2"/>
      <c r="AP128" s="2"/>
      <c r="AQ128" s="2"/>
      <c r="AR128" s="2"/>
    </row>
    <row r="129" spans="5:44" s="1" customFormat="1" ht="27">
      <c r="E129" s="4"/>
      <c r="H129" s="5"/>
      <c r="I129" s="9"/>
      <c r="J129" s="9"/>
      <c r="K129" s="6"/>
      <c r="L129" s="6"/>
      <c r="P129" s="2"/>
      <c r="T129" s="2"/>
      <c r="U129" s="2"/>
      <c r="V129" s="2"/>
      <c r="W129" s="172"/>
      <c r="X129" s="172"/>
      <c r="Y129" s="2"/>
      <c r="Z129" s="2"/>
      <c r="AE129" s="2"/>
      <c r="AG129" s="2"/>
      <c r="AH129" s="2"/>
      <c r="AI129" s="2"/>
      <c r="AJ129" s="2"/>
      <c r="AK129" s="2"/>
      <c r="AL129" s="2"/>
      <c r="AO129" s="2"/>
      <c r="AP129" s="2"/>
      <c r="AQ129" s="2"/>
      <c r="AR129" s="2"/>
    </row>
    <row r="130" spans="5:44" s="1" customFormat="1" ht="27">
      <c r="E130" s="4"/>
      <c r="H130" s="5"/>
      <c r="I130" s="9"/>
      <c r="J130" s="9"/>
      <c r="K130" s="6"/>
      <c r="L130" s="6"/>
      <c r="P130" s="2"/>
      <c r="T130" s="2"/>
      <c r="U130" s="2"/>
      <c r="V130" s="2"/>
      <c r="W130" s="172"/>
      <c r="X130" s="172"/>
      <c r="Y130" s="2"/>
      <c r="Z130" s="2"/>
      <c r="AE130" s="2"/>
      <c r="AG130" s="2"/>
      <c r="AH130" s="2"/>
      <c r="AI130" s="2"/>
      <c r="AJ130" s="2"/>
      <c r="AK130" s="2"/>
      <c r="AL130" s="2"/>
      <c r="AO130" s="2"/>
      <c r="AP130" s="2"/>
      <c r="AQ130" s="2"/>
      <c r="AR130" s="2"/>
    </row>
    <row r="131" spans="5:44" s="1" customFormat="1" ht="27">
      <c r="E131" s="4"/>
      <c r="H131" s="5"/>
      <c r="I131" s="9"/>
      <c r="J131" s="9"/>
      <c r="K131" s="6"/>
      <c r="L131" s="6"/>
      <c r="P131" s="2"/>
      <c r="T131" s="2"/>
      <c r="U131" s="2"/>
      <c r="V131" s="2"/>
      <c r="W131" s="172"/>
      <c r="X131" s="172"/>
      <c r="Y131" s="2"/>
      <c r="Z131" s="2"/>
      <c r="AE131" s="2"/>
      <c r="AG131" s="2"/>
      <c r="AH131" s="2"/>
      <c r="AI131" s="2"/>
      <c r="AJ131" s="2"/>
      <c r="AK131" s="2"/>
      <c r="AL131" s="2"/>
      <c r="AO131" s="2"/>
      <c r="AP131" s="2"/>
      <c r="AQ131" s="2"/>
      <c r="AR131" s="2"/>
    </row>
    <row r="132" spans="5:44" s="1" customFormat="1" ht="27">
      <c r="E132" s="4"/>
      <c r="H132" s="5"/>
      <c r="I132" s="9"/>
      <c r="J132" s="9"/>
      <c r="K132" s="6"/>
      <c r="L132" s="6"/>
      <c r="P132" s="2"/>
      <c r="T132" s="2"/>
      <c r="U132" s="2"/>
      <c r="V132" s="2"/>
      <c r="W132" s="172"/>
      <c r="X132" s="172"/>
      <c r="Y132" s="2"/>
      <c r="Z132" s="2"/>
      <c r="AE132" s="2"/>
      <c r="AG132" s="2"/>
      <c r="AH132" s="2"/>
      <c r="AI132" s="2"/>
      <c r="AJ132" s="2"/>
      <c r="AK132" s="2"/>
      <c r="AL132" s="2"/>
      <c r="AO132" s="2"/>
      <c r="AP132" s="2"/>
      <c r="AQ132" s="2"/>
      <c r="AR132" s="2"/>
    </row>
    <row r="133" spans="5:44" s="1" customFormat="1" ht="27">
      <c r="E133" s="4"/>
      <c r="H133" s="5"/>
      <c r="I133" s="9"/>
      <c r="J133" s="9"/>
      <c r="K133" s="6"/>
      <c r="L133" s="6"/>
      <c r="P133" s="2"/>
      <c r="T133" s="2"/>
      <c r="U133" s="2"/>
      <c r="V133" s="2"/>
      <c r="W133" s="172"/>
      <c r="X133" s="172"/>
      <c r="Y133" s="2"/>
      <c r="Z133" s="2"/>
      <c r="AE133" s="2"/>
      <c r="AG133" s="2"/>
      <c r="AH133" s="2"/>
      <c r="AI133" s="2"/>
      <c r="AJ133" s="2"/>
      <c r="AK133" s="2"/>
      <c r="AL133" s="2"/>
      <c r="AO133" s="2"/>
      <c r="AP133" s="2"/>
      <c r="AQ133" s="2"/>
      <c r="AR133" s="2"/>
    </row>
    <row r="134" spans="5:44" s="1" customFormat="1" ht="27">
      <c r="E134" s="4"/>
      <c r="H134" s="5"/>
      <c r="I134" s="9"/>
      <c r="J134" s="9"/>
      <c r="K134" s="6"/>
      <c r="L134" s="6"/>
      <c r="P134" s="2"/>
      <c r="T134" s="2"/>
      <c r="U134" s="2"/>
      <c r="V134" s="2"/>
      <c r="W134" s="172"/>
      <c r="X134" s="172"/>
      <c r="Y134" s="2"/>
      <c r="Z134" s="2"/>
      <c r="AE134" s="2"/>
      <c r="AG134" s="2"/>
      <c r="AH134" s="2"/>
      <c r="AI134" s="2"/>
      <c r="AJ134" s="2"/>
      <c r="AK134" s="2"/>
      <c r="AL134" s="2"/>
      <c r="AO134" s="2"/>
      <c r="AP134" s="2"/>
      <c r="AQ134" s="2"/>
      <c r="AR134" s="2"/>
    </row>
    <row r="135" spans="5:44" s="1" customFormat="1" ht="27">
      <c r="E135" s="4"/>
      <c r="H135" s="5"/>
      <c r="I135" s="9"/>
      <c r="J135" s="9"/>
      <c r="K135" s="6"/>
      <c r="L135" s="6"/>
      <c r="P135" s="2"/>
      <c r="T135" s="2"/>
      <c r="U135" s="2"/>
      <c r="V135" s="2"/>
      <c r="W135" s="172"/>
      <c r="X135" s="172"/>
      <c r="Y135" s="2"/>
      <c r="Z135" s="2"/>
      <c r="AE135" s="2"/>
      <c r="AG135" s="2"/>
      <c r="AH135" s="2"/>
      <c r="AI135" s="2"/>
      <c r="AJ135" s="2"/>
      <c r="AK135" s="2"/>
      <c r="AL135" s="2"/>
      <c r="AO135" s="2"/>
      <c r="AP135" s="2"/>
      <c r="AQ135" s="2"/>
      <c r="AR135" s="2"/>
    </row>
    <row r="136" spans="5:44" s="1" customFormat="1" ht="27">
      <c r="E136" s="4"/>
      <c r="H136" s="5"/>
      <c r="I136" s="9"/>
      <c r="J136" s="9"/>
      <c r="K136" s="6"/>
      <c r="L136" s="6"/>
      <c r="P136" s="2"/>
      <c r="T136" s="2"/>
      <c r="U136" s="2"/>
      <c r="V136" s="2"/>
      <c r="W136" s="172"/>
      <c r="X136" s="172"/>
      <c r="Y136" s="2"/>
      <c r="Z136" s="2"/>
      <c r="AE136" s="2"/>
      <c r="AG136" s="2"/>
      <c r="AH136" s="2"/>
      <c r="AI136" s="2"/>
      <c r="AJ136" s="2"/>
      <c r="AK136" s="2"/>
      <c r="AL136" s="2"/>
      <c r="AO136" s="2"/>
      <c r="AP136" s="2"/>
      <c r="AQ136" s="2"/>
      <c r="AR136" s="2"/>
    </row>
    <row r="137" spans="5:44" s="1" customFormat="1" ht="27">
      <c r="E137" s="4"/>
      <c r="H137" s="5"/>
      <c r="I137" s="9"/>
      <c r="J137" s="9"/>
      <c r="K137" s="6"/>
      <c r="L137" s="6"/>
      <c r="P137" s="2"/>
      <c r="T137" s="2"/>
      <c r="U137" s="2"/>
      <c r="V137" s="2"/>
      <c r="W137" s="172"/>
      <c r="X137" s="172"/>
      <c r="Y137" s="2"/>
      <c r="Z137" s="2"/>
      <c r="AE137" s="2"/>
      <c r="AG137" s="2"/>
      <c r="AH137" s="2"/>
      <c r="AI137" s="2"/>
      <c r="AJ137" s="2"/>
      <c r="AK137" s="2"/>
      <c r="AL137" s="2"/>
      <c r="AO137" s="2"/>
      <c r="AP137" s="2"/>
      <c r="AQ137" s="2"/>
      <c r="AR137" s="2"/>
    </row>
    <row r="138" spans="5:44" s="1" customFormat="1" ht="27">
      <c r="E138" s="4"/>
      <c r="H138" s="5"/>
      <c r="I138" s="9"/>
      <c r="J138" s="9"/>
      <c r="K138" s="6"/>
      <c r="L138" s="6"/>
      <c r="P138" s="2"/>
      <c r="T138" s="2"/>
      <c r="U138" s="2"/>
      <c r="V138" s="2"/>
      <c r="W138" s="172"/>
      <c r="X138" s="172"/>
      <c r="Y138" s="2"/>
      <c r="Z138" s="2"/>
      <c r="AE138" s="2"/>
      <c r="AG138" s="2"/>
      <c r="AH138" s="2"/>
      <c r="AI138" s="2"/>
      <c r="AJ138" s="2"/>
      <c r="AK138" s="2"/>
      <c r="AL138" s="2"/>
      <c r="AO138" s="2"/>
      <c r="AP138" s="2"/>
      <c r="AQ138" s="2"/>
      <c r="AR138" s="2"/>
    </row>
    <row r="139" spans="5:44" s="1" customFormat="1" ht="27">
      <c r="E139" s="4"/>
      <c r="H139" s="5"/>
      <c r="I139" s="9"/>
      <c r="J139" s="9"/>
      <c r="K139" s="6"/>
      <c r="L139" s="6"/>
      <c r="P139" s="2"/>
      <c r="T139" s="2"/>
      <c r="U139" s="2"/>
      <c r="V139" s="2"/>
      <c r="W139" s="172"/>
      <c r="X139" s="172"/>
      <c r="Y139" s="2"/>
      <c r="Z139" s="2"/>
      <c r="AE139" s="2"/>
      <c r="AG139" s="2"/>
      <c r="AH139" s="2"/>
      <c r="AI139" s="2"/>
      <c r="AJ139" s="2"/>
      <c r="AK139" s="2"/>
      <c r="AL139" s="2"/>
      <c r="AO139" s="2"/>
      <c r="AP139" s="2"/>
      <c r="AQ139" s="2"/>
      <c r="AR139" s="2"/>
    </row>
    <row r="140" spans="5:44" s="1" customFormat="1" ht="27">
      <c r="E140" s="4"/>
      <c r="H140" s="5"/>
      <c r="I140" s="9"/>
      <c r="J140" s="9"/>
      <c r="K140" s="6"/>
      <c r="L140" s="6"/>
      <c r="P140" s="2"/>
      <c r="T140" s="2"/>
      <c r="U140" s="2"/>
      <c r="V140" s="2"/>
      <c r="W140" s="172"/>
      <c r="X140" s="172"/>
      <c r="Y140" s="2"/>
      <c r="Z140" s="2"/>
      <c r="AE140" s="2"/>
      <c r="AG140" s="2"/>
      <c r="AH140" s="2"/>
      <c r="AI140" s="2"/>
      <c r="AJ140" s="2"/>
      <c r="AK140" s="2"/>
      <c r="AL140" s="2"/>
      <c r="AO140" s="2"/>
      <c r="AP140" s="2"/>
      <c r="AQ140" s="2"/>
      <c r="AR140" s="2"/>
    </row>
    <row r="141" spans="5:44" s="1" customFormat="1" ht="27">
      <c r="E141" s="4"/>
      <c r="H141" s="5"/>
      <c r="I141" s="9"/>
      <c r="J141" s="9"/>
      <c r="K141" s="6"/>
      <c r="L141" s="6"/>
      <c r="P141" s="2"/>
      <c r="T141" s="2"/>
      <c r="U141" s="2"/>
      <c r="V141" s="2"/>
      <c r="W141" s="172"/>
      <c r="X141" s="172"/>
      <c r="Y141" s="2"/>
      <c r="Z141" s="2"/>
      <c r="AE141" s="2"/>
      <c r="AG141" s="2"/>
      <c r="AH141" s="2"/>
      <c r="AI141" s="2"/>
      <c r="AJ141" s="2"/>
      <c r="AK141" s="2"/>
      <c r="AL141" s="2"/>
      <c r="AO141" s="2"/>
      <c r="AP141" s="2"/>
      <c r="AQ141" s="2"/>
      <c r="AR141" s="2"/>
    </row>
    <row r="142" spans="5:44" s="1" customFormat="1" ht="27">
      <c r="E142" s="4"/>
      <c r="H142" s="5"/>
      <c r="I142" s="9"/>
      <c r="J142" s="9"/>
      <c r="K142" s="6"/>
      <c r="L142" s="6"/>
      <c r="P142" s="2"/>
      <c r="T142" s="2"/>
      <c r="U142" s="2"/>
      <c r="V142" s="2"/>
      <c r="W142" s="172"/>
      <c r="X142" s="172"/>
      <c r="Y142" s="2"/>
      <c r="Z142" s="2"/>
      <c r="AE142" s="2"/>
      <c r="AG142" s="2"/>
      <c r="AH142" s="2"/>
      <c r="AI142" s="2"/>
      <c r="AJ142" s="2"/>
      <c r="AK142" s="2"/>
      <c r="AL142" s="2"/>
      <c r="AO142" s="2"/>
      <c r="AP142" s="2"/>
      <c r="AQ142" s="2"/>
      <c r="AR142" s="2"/>
    </row>
    <row r="143" spans="5:44" s="1" customFormat="1" ht="27">
      <c r="E143" s="4"/>
      <c r="H143" s="5"/>
      <c r="I143" s="9"/>
      <c r="J143" s="9"/>
      <c r="K143" s="6"/>
      <c r="L143" s="6"/>
      <c r="P143" s="2"/>
      <c r="T143" s="2"/>
      <c r="U143" s="2"/>
      <c r="V143" s="2"/>
      <c r="W143" s="172"/>
      <c r="X143" s="172"/>
      <c r="Y143" s="2"/>
      <c r="Z143" s="2"/>
      <c r="AE143" s="2"/>
      <c r="AG143" s="2"/>
      <c r="AH143" s="2"/>
      <c r="AI143" s="2"/>
      <c r="AJ143" s="2"/>
      <c r="AK143" s="2"/>
      <c r="AL143" s="2"/>
      <c r="AO143" s="2"/>
      <c r="AP143" s="2"/>
      <c r="AQ143" s="2"/>
      <c r="AR143" s="2"/>
    </row>
    <row r="144" spans="5:44" s="1" customFormat="1" ht="27">
      <c r="E144" s="4"/>
      <c r="H144" s="5"/>
      <c r="I144" s="9"/>
      <c r="J144" s="9"/>
      <c r="K144" s="6"/>
      <c r="L144" s="6"/>
      <c r="P144" s="2"/>
      <c r="T144" s="2"/>
      <c r="U144" s="2"/>
      <c r="V144" s="2"/>
      <c r="W144" s="172"/>
      <c r="X144" s="172"/>
      <c r="Y144" s="2"/>
      <c r="Z144" s="2"/>
      <c r="AE144" s="2"/>
      <c r="AG144" s="2"/>
      <c r="AH144" s="2"/>
      <c r="AI144" s="2"/>
      <c r="AJ144" s="2"/>
      <c r="AK144" s="2"/>
      <c r="AL144" s="2"/>
      <c r="AO144" s="2"/>
      <c r="AP144" s="2"/>
      <c r="AQ144" s="2"/>
      <c r="AR144" s="2"/>
    </row>
    <row r="145" spans="5:44" s="1" customFormat="1" ht="27">
      <c r="E145" s="4"/>
      <c r="H145" s="5"/>
      <c r="I145" s="9"/>
      <c r="J145" s="9"/>
      <c r="K145" s="6"/>
      <c r="L145" s="6"/>
      <c r="P145" s="2"/>
      <c r="T145" s="2"/>
      <c r="U145" s="2"/>
      <c r="V145" s="2"/>
      <c r="W145" s="172"/>
      <c r="X145" s="172"/>
      <c r="Y145" s="2"/>
      <c r="Z145" s="2"/>
      <c r="AE145" s="2"/>
      <c r="AG145" s="2"/>
      <c r="AH145" s="2"/>
      <c r="AI145" s="2"/>
      <c r="AJ145" s="2"/>
      <c r="AK145" s="2"/>
      <c r="AL145" s="2"/>
      <c r="AO145" s="2"/>
      <c r="AP145" s="2"/>
      <c r="AQ145" s="2"/>
      <c r="AR145" s="2"/>
    </row>
    <row r="146" spans="5:44" s="1" customFormat="1" ht="27">
      <c r="E146" s="4"/>
      <c r="H146" s="5"/>
      <c r="I146" s="9"/>
      <c r="J146" s="9"/>
      <c r="K146" s="6"/>
      <c r="L146" s="6"/>
      <c r="P146" s="2"/>
      <c r="T146" s="2"/>
      <c r="U146" s="2"/>
      <c r="V146" s="2"/>
      <c r="W146" s="172"/>
      <c r="X146" s="172"/>
      <c r="Y146" s="2"/>
      <c r="Z146" s="2"/>
      <c r="AE146" s="2"/>
      <c r="AG146" s="2"/>
      <c r="AH146" s="2"/>
      <c r="AI146" s="2"/>
      <c r="AJ146" s="2"/>
      <c r="AK146" s="2"/>
      <c r="AL146" s="2"/>
      <c r="AO146" s="2"/>
      <c r="AP146" s="2"/>
      <c r="AQ146" s="2"/>
      <c r="AR146" s="2"/>
    </row>
    <row r="147" spans="5:44" s="1" customFormat="1" ht="27">
      <c r="E147" s="4"/>
      <c r="H147" s="5"/>
      <c r="I147" s="9"/>
      <c r="J147" s="9"/>
      <c r="K147" s="6"/>
      <c r="L147" s="6"/>
      <c r="P147" s="2"/>
      <c r="T147" s="2"/>
      <c r="U147" s="2"/>
      <c r="V147" s="2"/>
      <c r="W147" s="172"/>
      <c r="X147" s="172"/>
      <c r="Y147" s="2"/>
      <c r="Z147" s="2"/>
      <c r="AE147" s="2"/>
      <c r="AG147" s="2"/>
      <c r="AH147" s="2"/>
      <c r="AI147" s="2"/>
      <c r="AJ147" s="2"/>
      <c r="AK147" s="2"/>
      <c r="AL147" s="2"/>
      <c r="AO147" s="2"/>
      <c r="AP147" s="2"/>
      <c r="AQ147" s="2"/>
      <c r="AR147" s="2"/>
    </row>
    <row r="148" spans="5:44" s="1" customFormat="1" ht="27">
      <c r="E148" s="4"/>
      <c r="H148" s="5"/>
      <c r="I148" s="9"/>
      <c r="J148" s="9"/>
      <c r="K148" s="6"/>
      <c r="L148" s="6"/>
      <c r="P148" s="2"/>
      <c r="T148" s="2"/>
      <c r="U148" s="2"/>
      <c r="V148" s="2"/>
      <c r="W148" s="172"/>
      <c r="X148" s="172"/>
      <c r="Y148" s="2"/>
      <c r="Z148" s="2"/>
      <c r="AE148" s="2"/>
      <c r="AG148" s="2"/>
      <c r="AH148" s="2"/>
      <c r="AI148" s="2"/>
      <c r="AJ148" s="2"/>
      <c r="AK148" s="2"/>
      <c r="AL148" s="2"/>
      <c r="AO148" s="2"/>
      <c r="AP148" s="2"/>
      <c r="AQ148" s="2"/>
      <c r="AR148" s="2"/>
    </row>
    <row r="149" spans="5:44" s="1" customFormat="1" ht="27">
      <c r="E149" s="4"/>
      <c r="H149" s="5"/>
      <c r="I149" s="9"/>
      <c r="J149" s="9"/>
      <c r="K149" s="6"/>
      <c r="L149" s="6"/>
      <c r="P149" s="2"/>
      <c r="T149" s="2"/>
      <c r="U149" s="2"/>
      <c r="V149" s="2"/>
      <c r="W149" s="172"/>
      <c r="X149" s="172"/>
      <c r="Y149" s="2"/>
      <c r="Z149" s="2"/>
      <c r="AE149" s="2"/>
      <c r="AG149" s="2"/>
      <c r="AH149" s="2"/>
      <c r="AI149" s="2"/>
      <c r="AJ149" s="2"/>
      <c r="AK149" s="2"/>
      <c r="AL149" s="2"/>
      <c r="AO149" s="2"/>
      <c r="AP149" s="2"/>
      <c r="AQ149" s="2"/>
      <c r="AR149" s="2"/>
    </row>
    <row r="150" spans="5:44" s="1" customFormat="1" ht="27">
      <c r="E150" s="4"/>
      <c r="H150" s="5"/>
      <c r="I150" s="9"/>
      <c r="J150" s="9"/>
      <c r="K150" s="6"/>
      <c r="L150" s="6"/>
      <c r="P150" s="2"/>
      <c r="T150" s="2"/>
      <c r="U150" s="2"/>
      <c r="V150" s="2"/>
      <c r="W150" s="172"/>
      <c r="X150" s="172"/>
      <c r="Y150" s="2"/>
      <c r="Z150" s="2"/>
      <c r="AE150" s="2"/>
      <c r="AG150" s="2"/>
      <c r="AH150" s="2"/>
      <c r="AI150" s="2"/>
      <c r="AJ150" s="2"/>
      <c r="AK150" s="2"/>
      <c r="AL150" s="2"/>
      <c r="AO150" s="2"/>
      <c r="AP150" s="2"/>
      <c r="AQ150" s="2"/>
      <c r="AR150" s="2"/>
    </row>
    <row r="151" spans="5:44" s="1" customFormat="1" ht="27">
      <c r="E151" s="4"/>
      <c r="H151" s="5"/>
      <c r="I151" s="9"/>
      <c r="J151" s="9"/>
      <c r="K151" s="6"/>
      <c r="L151" s="6"/>
      <c r="P151" s="2"/>
      <c r="T151" s="2"/>
      <c r="U151" s="2"/>
      <c r="V151" s="2"/>
      <c r="W151" s="172"/>
      <c r="X151" s="172"/>
      <c r="Y151" s="2"/>
      <c r="Z151" s="2"/>
      <c r="AE151" s="2"/>
      <c r="AG151" s="2"/>
      <c r="AH151" s="2"/>
      <c r="AI151" s="2"/>
      <c r="AJ151" s="2"/>
      <c r="AK151" s="2"/>
      <c r="AL151" s="2"/>
      <c r="AO151" s="2"/>
      <c r="AP151" s="2"/>
      <c r="AQ151" s="2"/>
      <c r="AR151" s="2"/>
    </row>
    <row r="152" spans="5:44" s="1" customFormat="1" ht="27">
      <c r="E152" s="4"/>
      <c r="H152" s="5"/>
      <c r="I152" s="9"/>
      <c r="J152" s="9"/>
      <c r="K152" s="6"/>
      <c r="L152" s="6"/>
      <c r="P152" s="2"/>
      <c r="T152" s="2"/>
      <c r="U152" s="2"/>
      <c r="V152" s="2"/>
      <c r="W152" s="172"/>
      <c r="X152" s="172"/>
      <c r="Y152" s="2"/>
      <c r="Z152" s="2"/>
      <c r="AE152" s="2"/>
      <c r="AG152" s="2"/>
      <c r="AH152" s="2"/>
      <c r="AI152" s="2"/>
      <c r="AJ152" s="2"/>
      <c r="AK152" s="2"/>
      <c r="AL152" s="2"/>
      <c r="AO152" s="2"/>
      <c r="AP152" s="2"/>
      <c r="AQ152" s="2"/>
      <c r="AR152" s="2"/>
    </row>
    <row r="153" spans="5:44" s="1" customFormat="1" ht="27">
      <c r="E153" s="4"/>
      <c r="H153" s="5"/>
      <c r="I153" s="9"/>
      <c r="J153" s="9"/>
      <c r="K153" s="6"/>
      <c r="L153" s="6"/>
      <c r="P153" s="2"/>
      <c r="T153" s="2"/>
      <c r="U153" s="2"/>
      <c r="V153" s="2"/>
      <c r="W153" s="172"/>
      <c r="X153" s="172"/>
      <c r="Y153" s="2"/>
      <c r="Z153" s="2"/>
      <c r="AE153" s="2"/>
      <c r="AG153" s="2"/>
      <c r="AH153" s="2"/>
      <c r="AI153" s="2"/>
      <c r="AJ153" s="2"/>
      <c r="AK153" s="2"/>
      <c r="AL153" s="2"/>
      <c r="AO153" s="2"/>
      <c r="AP153" s="2"/>
      <c r="AQ153" s="2"/>
      <c r="AR153" s="2"/>
    </row>
    <row r="154" spans="5:44" s="1" customFormat="1" ht="27">
      <c r="E154" s="4"/>
      <c r="H154" s="5"/>
      <c r="I154" s="9"/>
      <c r="J154" s="9"/>
      <c r="K154" s="6"/>
      <c r="L154" s="6"/>
      <c r="P154" s="2"/>
      <c r="T154" s="2"/>
      <c r="U154" s="2"/>
      <c r="V154" s="2"/>
      <c r="W154" s="172"/>
      <c r="X154" s="172"/>
      <c r="Y154" s="2"/>
      <c r="Z154" s="2"/>
      <c r="AE154" s="2"/>
      <c r="AG154" s="2"/>
      <c r="AH154" s="2"/>
      <c r="AI154" s="2"/>
      <c r="AJ154" s="2"/>
      <c r="AK154" s="2"/>
      <c r="AL154" s="2"/>
      <c r="AO154" s="2"/>
      <c r="AP154" s="2"/>
      <c r="AQ154" s="2"/>
      <c r="AR154" s="2"/>
    </row>
    <row r="155" spans="5:44" s="1" customFormat="1" ht="27">
      <c r="E155" s="4"/>
      <c r="H155" s="5"/>
      <c r="I155" s="9"/>
      <c r="J155" s="9"/>
      <c r="K155" s="6"/>
      <c r="L155" s="6"/>
      <c r="P155" s="2"/>
      <c r="T155" s="2"/>
      <c r="U155" s="2"/>
      <c r="V155" s="2"/>
      <c r="W155" s="172"/>
      <c r="X155" s="172"/>
      <c r="Y155" s="2"/>
      <c r="Z155" s="2"/>
      <c r="AE155" s="2"/>
      <c r="AG155" s="2"/>
      <c r="AH155" s="2"/>
      <c r="AI155" s="2"/>
      <c r="AJ155" s="2"/>
      <c r="AK155" s="2"/>
      <c r="AL155" s="2"/>
      <c r="AO155" s="2"/>
      <c r="AP155" s="2"/>
      <c r="AQ155" s="2"/>
      <c r="AR155" s="2"/>
    </row>
    <row r="156" spans="5:44" s="1" customFormat="1" ht="27">
      <c r="E156" s="4"/>
      <c r="H156" s="5"/>
      <c r="I156" s="9"/>
      <c r="J156" s="9"/>
      <c r="K156" s="6"/>
      <c r="L156" s="6"/>
      <c r="P156" s="2"/>
      <c r="T156" s="2"/>
      <c r="U156" s="2"/>
      <c r="V156" s="2"/>
      <c r="W156" s="172"/>
      <c r="X156" s="172"/>
      <c r="Y156" s="2"/>
      <c r="Z156" s="2"/>
      <c r="AE156" s="2"/>
      <c r="AG156" s="2"/>
      <c r="AH156" s="2"/>
      <c r="AI156" s="2"/>
      <c r="AJ156" s="2"/>
      <c r="AK156" s="2"/>
      <c r="AL156" s="2"/>
      <c r="AO156" s="2"/>
      <c r="AP156" s="2"/>
      <c r="AQ156" s="2"/>
      <c r="AR156" s="2"/>
    </row>
    <row r="157" spans="5:44" s="1" customFormat="1" ht="27">
      <c r="E157" s="4"/>
      <c r="H157" s="5"/>
      <c r="I157" s="9"/>
      <c r="J157" s="9"/>
      <c r="K157" s="6"/>
      <c r="L157" s="6"/>
      <c r="P157" s="2"/>
      <c r="T157" s="2"/>
      <c r="U157" s="2"/>
      <c r="V157" s="2"/>
      <c r="W157" s="172"/>
      <c r="X157" s="172"/>
      <c r="Y157" s="2"/>
      <c r="Z157" s="2"/>
      <c r="AE157" s="2"/>
      <c r="AG157" s="2"/>
      <c r="AH157" s="2"/>
      <c r="AI157" s="2"/>
      <c r="AJ157" s="2"/>
      <c r="AK157" s="2"/>
      <c r="AL157" s="2"/>
      <c r="AO157" s="2"/>
      <c r="AP157" s="2"/>
      <c r="AQ157" s="2"/>
      <c r="AR157" s="2"/>
    </row>
    <row r="158" spans="5:44" s="1" customFormat="1" ht="27">
      <c r="E158" s="4"/>
      <c r="H158" s="5"/>
      <c r="I158" s="9"/>
      <c r="J158" s="9"/>
      <c r="K158" s="6"/>
      <c r="L158" s="6"/>
      <c r="P158" s="2"/>
      <c r="T158" s="2"/>
      <c r="U158" s="2"/>
      <c r="V158" s="2"/>
      <c r="W158" s="172"/>
      <c r="X158" s="172"/>
      <c r="Y158" s="2"/>
      <c r="Z158" s="2"/>
      <c r="AE158" s="2"/>
      <c r="AG158" s="2"/>
      <c r="AH158" s="2"/>
      <c r="AI158" s="2"/>
      <c r="AJ158" s="2"/>
      <c r="AK158" s="2"/>
      <c r="AL158" s="2"/>
      <c r="AO158" s="2"/>
      <c r="AP158" s="2"/>
      <c r="AQ158" s="2"/>
      <c r="AR158" s="2"/>
    </row>
    <row r="159" spans="5:44" s="1" customFormat="1" ht="27">
      <c r="E159" s="4"/>
      <c r="H159" s="5"/>
      <c r="I159" s="9"/>
      <c r="J159" s="9"/>
      <c r="K159" s="6"/>
      <c r="L159" s="6"/>
      <c r="P159" s="2"/>
      <c r="T159" s="2"/>
      <c r="U159" s="2"/>
      <c r="V159" s="2"/>
      <c r="W159" s="172"/>
      <c r="X159" s="172"/>
      <c r="Y159" s="2"/>
      <c r="Z159" s="2"/>
      <c r="AE159" s="2"/>
      <c r="AG159" s="2"/>
      <c r="AH159" s="2"/>
      <c r="AI159" s="2"/>
      <c r="AJ159" s="2"/>
      <c r="AK159" s="2"/>
      <c r="AL159" s="2"/>
      <c r="AO159" s="2"/>
      <c r="AP159" s="2"/>
      <c r="AQ159" s="2"/>
      <c r="AR159" s="2"/>
    </row>
    <row r="160" spans="5:44" s="1" customFormat="1" ht="27">
      <c r="E160" s="4"/>
      <c r="H160" s="5"/>
      <c r="I160" s="9"/>
      <c r="J160" s="9"/>
      <c r="K160" s="6"/>
      <c r="L160" s="6"/>
      <c r="P160" s="2"/>
      <c r="T160" s="2"/>
      <c r="U160" s="2"/>
      <c r="V160" s="2"/>
      <c r="W160" s="172"/>
      <c r="X160" s="172"/>
      <c r="Y160" s="2"/>
      <c r="Z160" s="2"/>
      <c r="AE160" s="2"/>
      <c r="AG160" s="2"/>
      <c r="AH160" s="2"/>
      <c r="AI160" s="2"/>
      <c r="AJ160" s="2"/>
      <c r="AK160" s="2"/>
      <c r="AL160" s="2"/>
      <c r="AO160" s="2"/>
      <c r="AP160" s="2"/>
      <c r="AQ160" s="2"/>
      <c r="AR160" s="2"/>
    </row>
    <row r="161" spans="5:44" s="1" customFormat="1" ht="27">
      <c r="E161" s="4"/>
      <c r="H161" s="5"/>
      <c r="I161" s="9"/>
      <c r="J161" s="9"/>
      <c r="K161" s="6"/>
      <c r="L161" s="6"/>
      <c r="P161" s="2"/>
      <c r="T161" s="2"/>
      <c r="U161" s="2"/>
      <c r="V161" s="2"/>
      <c r="W161" s="172"/>
      <c r="X161" s="172"/>
      <c r="Y161" s="2"/>
      <c r="Z161" s="2"/>
      <c r="AE161" s="2"/>
      <c r="AG161" s="2"/>
      <c r="AH161" s="2"/>
      <c r="AI161" s="2"/>
      <c r="AJ161" s="2"/>
      <c r="AK161" s="2"/>
      <c r="AL161" s="2"/>
      <c r="AO161" s="2"/>
      <c r="AP161" s="2"/>
      <c r="AQ161" s="2"/>
      <c r="AR161" s="2"/>
    </row>
    <row r="162" spans="5:44" s="1" customFormat="1" ht="27">
      <c r="E162" s="4"/>
      <c r="H162" s="5"/>
      <c r="I162" s="9"/>
      <c r="J162" s="9"/>
      <c r="K162" s="6"/>
      <c r="L162" s="6"/>
      <c r="P162" s="2"/>
      <c r="T162" s="2"/>
      <c r="U162" s="2"/>
      <c r="V162" s="2"/>
      <c r="W162" s="172"/>
      <c r="X162" s="172"/>
      <c r="Y162" s="2"/>
      <c r="Z162" s="2"/>
      <c r="AE162" s="2"/>
      <c r="AG162" s="2"/>
      <c r="AH162" s="2"/>
      <c r="AI162" s="2"/>
      <c r="AJ162" s="2"/>
      <c r="AK162" s="2"/>
      <c r="AL162" s="2"/>
      <c r="AO162" s="2"/>
      <c r="AP162" s="2"/>
      <c r="AQ162" s="2"/>
      <c r="AR162" s="2"/>
    </row>
    <row r="163" spans="5:44" s="1" customFormat="1" ht="27">
      <c r="E163" s="4"/>
      <c r="H163" s="5"/>
      <c r="I163" s="9"/>
      <c r="J163" s="9"/>
      <c r="K163" s="6"/>
      <c r="L163" s="6"/>
      <c r="P163" s="2"/>
      <c r="T163" s="2"/>
      <c r="U163" s="2"/>
      <c r="V163" s="2"/>
      <c r="W163" s="172"/>
      <c r="X163" s="172"/>
      <c r="Y163" s="2"/>
      <c r="Z163" s="2"/>
      <c r="AE163" s="2"/>
      <c r="AG163" s="2"/>
      <c r="AH163" s="2"/>
      <c r="AI163" s="2"/>
      <c r="AJ163" s="2"/>
      <c r="AK163" s="2"/>
      <c r="AL163" s="2"/>
      <c r="AO163" s="2"/>
      <c r="AP163" s="2"/>
      <c r="AQ163" s="2"/>
      <c r="AR163" s="2"/>
    </row>
    <row r="164" spans="5:44" s="1" customFormat="1" ht="27">
      <c r="E164" s="4"/>
      <c r="H164" s="5"/>
      <c r="I164" s="9"/>
      <c r="J164" s="9"/>
      <c r="K164" s="6"/>
      <c r="L164" s="6"/>
      <c r="P164" s="2"/>
      <c r="T164" s="2"/>
      <c r="U164" s="2"/>
      <c r="V164" s="2"/>
      <c r="W164" s="172"/>
      <c r="X164" s="172"/>
      <c r="Y164" s="2"/>
      <c r="Z164" s="2"/>
      <c r="AE164" s="2"/>
      <c r="AG164" s="2"/>
      <c r="AH164" s="2"/>
      <c r="AI164" s="2"/>
      <c r="AJ164" s="2"/>
      <c r="AK164" s="2"/>
      <c r="AL164" s="2"/>
      <c r="AO164" s="2"/>
      <c r="AP164" s="2"/>
      <c r="AQ164" s="2"/>
      <c r="AR164" s="2"/>
    </row>
    <row r="165" spans="5:44" s="1" customFormat="1" ht="27">
      <c r="E165" s="4"/>
      <c r="H165" s="5"/>
      <c r="I165" s="9"/>
      <c r="J165" s="9"/>
      <c r="K165" s="6"/>
      <c r="L165" s="6"/>
      <c r="P165" s="2"/>
      <c r="T165" s="2"/>
      <c r="U165" s="2"/>
      <c r="V165" s="2"/>
      <c r="W165" s="172"/>
      <c r="X165" s="172"/>
      <c r="Y165" s="2"/>
      <c r="Z165" s="2"/>
      <c r="AE165" s="2"/>
      <c r="AG165" s="2"/>
      <c r="AH165" s="2"/>
      <c r="AI165" s="2"/>
      <c r="AJ165" s="2"/>
      <c r="AK165" s="2"/>
      <c r="AL165" s="2"/>
      <c r="AO165" s="2"/>
      <c r="AP165" s="2"/>
      <c r="AQ165" s="2"/>
      <c r="AR165" s="2"/>
    </row>
    <row r="166" spans="5:44" s="1" customFormat="1" ht="27">
      <c r="E166" s="4"/>
      <c r="H166" s="5"/>
      <c r="I166" s="9"/>
      <c r="J166" s="9"/>
      <c r="K166" s="6"/>
      <c r="L166" s="6"/>
      <c r="P166" s="2"/>
      <c r="T166" s="2"/>
      <c r="U166" s="2"/>
      <c r="V166" s="2"/>
      <c r="W166" s="172"/>
      <c r="X166" s="172"/>
      <c r="Y166" s="2"/>
      <c r="Z166" s="2"/>
      <c r="AE166" s="2"/>
      <c r="AG166" s="2"/>
      <c r="AH166" s="2"/>
      <c r="AI166" s="2"/>
      <c r="AJ166" s="2"/>
      <c r="AK166" s="2"/>
      <c r="AL166" s="2"/>
      <c r="AO166" s="2"/>
      <c r="AP166" s="2"/>
      <c r="AQ166" s="2"/>
      <c r="AR166" s="2"/>
    </row>
    <row r="167" spans="5:44" s="1" customFormat="1" ht="27">
      <c r="E167" s="4"/>
      <c r="H167" s="5"/>
      <c r="I167" s="9"/>
      <c r="J167" s="9"/>
      <c r="K167" s="6"/>
      <c r="L167" s="6"/>
      <c r="P167" s="2"/>
      <c r="T167" s="2"/>
      <c r="U167" s="2"/>
      <c r="V167" s="2"/>
      <c r="W167" s="172"/>
      <c r="X167" s="172"/>
      <c r="Y167" s="2"/>
      <c r="Z167" s="2"/>
      <c r="AE167" s="2"/>
      <c r="AG167" s="2"/>
      <c r="AH167" s="2"/>
      <c r="AI167" s="2"/>
      <c r="AJ167" s="2"/>
      <c r="AK167" s="2"/>
      <c r="AL167" s="2"/>
      <c r="AO167" s="2"/>
      <c r="AP167" s="2"/>
      <c r="AQ167" s="2"/>
      <c r="AR167" s="2"/>
    </row>
    <row r="168" spans="5:44" s="1" customFormat="1" ht="27">
      <c r="E168" s="4"/>
      <c r="H168" s="5"/>
      <c r="I168" s="9"/>
      <c r="J168" s="9"/>
      <c r="K168" s="6"/>
      <c r="L168" s="6"/>
      <c r="P168" s="2"/>
      <c r="T168" s="2"/>
      <c r="U168" s="2"/>
      <c r="V168" s="2"/>
      <c r="W168" s="172"/>
      <c r="X168" s="172"/>
      <c r="Y168" s="2"/>
      <c r="Z168" s="2"/>
      <c r="AE168" s="2"/>
      <c r="AG168" s="2"/>
      <c r="AH168" s="2"/>
      <c r="AI168" s="2"/>
      <c r="AJ168" s="2"/>
      <c r="AK168" s="2"/>
      <c r="AL168" s="2"/>
      <c r="AO168" s="2"/>
      <c r="AP168" s="2"/>
      <c r="AQ168" s="2"/>
      <c r="AR168" s="2"/>
    </row>
    <row r="169" spans="5:44" s="1" customFormat="1" ht="27">
      <c r="E169" s="4"/>
      <c r="H169" s="5"/>
      <c r="I169" s="9"/>
      <c r="J169" s="9"/>
      <c r="K169" s="6"/>
      <c r="L169" s="6"/>
      <c r="P169" s="2"/>
      <c r="T169" s="2"/>
      <c r="U169" s="2"/>
      <c r="V169" s="2"/>
      <c r="W169" s="172"/>
      <c r="X169" s="172"/>
      <c r="Y169" s="2"/>
      <c r="Z169" s="2"/>
      <c r="AE169" s="2"/>
      <c r="AG169" s="2"/>
      <c r="AH169" s="2"/>
      <c r="AI169" s="2"/>
      <c r="AJ169" s="2"/>
      <c r="AK169" s="2"/>
      <c r="AL169" s="2"/>
      <c r="AO169" s="2"/>
      <c r="AP169" s="2"/>
      <c r="AQ169" s="2"/>
      <c r="AR169" s="2"/>
    </row>
    <row r="170" spans="5:44" s="1" customFormat="1" ht="27">
      <c r="E170" s="4"/>
      <c r="H170" s="5"/>
      <c r="I170" s="9"/>
      <c r="J170" s="9"/>
      <c r="K170" s="6"/>
      <c r="L170" s="6"/>
      <c r="P170" s="2"/>
      <c r="T170" s="2"/>
      <c r="U170" s="2"/>
      <c r="V170" s="2"/>
      <c r="W170" s="172"/>
      <c r="X170" s="172"/>
      <c r="Y170" s="2"/>
      <c r="Z170" s="2"/>
      <c r="AE170" s="2"/>
      <c r="AG170" s="2"/>
      <c r="AH170" s="2"/>
      <c r="AI170" s="2"/>
      <c r="AJ170" s="2"/>
      <c r="AK170" s="2"/>
      <c r="AL170" s="2"/>
      <c r="AO170" s="2"/>
      <c r="AP170" s="2"/>
      <c r="AQ170" s="2"/>
      <c r="AR170" s="2"/>
    </row>
    <row r="171" spans="5:44" s="1" customFormat="1" ht="27">
      <c r="E171" s="4"/>
      <c r="H171" s="5"/>
      <c r="I171" s="9"/>
      <c r="J171" s="9"/>
      <c r="K171" s="6"/>
      <c r="L171" s="6"/>
      <c r="P171" s="2"/>
      <c r="T171" s="2"/>
      <c r="U171" s="2"/>
      <c r="V171" s="2"/>
      <c r="W171" s="172"/>
      <c r="X171" s="172"/>
      <c r="Y171" s="2"/>
      <c r="Z171" s="2"/>
      <c r="AE171" s="2"/>
      <c r="AG171" s="2"/>
      <c r="AH171" s="2"/>
      <c r="AI171" s="2"/>
      <c r="AJ171" s="2"/>
      <c r="AK171" s="2"/>
      <c r="AL171" s="2"/>
      <c r="AO171" s="2"/>
      <c r="AP171" s="2"/>
      <c r="AQ171" s="2"/>
      <c r="AR171" s="2"/>
    </row>
    <row r="172" spans="5:44" s="1" customFormat="1" ht="27">
      <c r="E172" s="4"/>
      <c r="H172" s="5"/>
      <c r="I172" s="9"/>
      <c r="J172" s="9"/>
      <c r="K172" s="6"/>
      <c r="L172" s="6"/>
      <c r="P172" s="2"/>
      <c r="T172" s="2"/>
      <c r="U172" s="2"/>
      <c r="V172" s="2"/>
      <c r="W172" s="172"/>
      <c r="X172" s="172"/>
      <c r="Y172" s="2"/>
      <c r="Z172" s="2"/>
      <c r="AE172" s="2"/>
      <c r="AG172" s="2"/>
      <c r="AH172" s="2"/>
      <c r="AI172" s="2"/>
      <c r="AJ172" s="2"/>
      <c r="AK172" s="2"/>
      <c r="AL172" s="2"/>
      <c r="AO172" s="2"/>
      <c r="AP172" s="2"/>
      <c r="AQ172" s="2"/>
      <c r="AR172" s="2"/>
    </row>
    <row r="173" spans="5:44" s="1" customFormat="1" ht="27">
      <c r="E173" s="4"/>
      <c r="H173" s="5"/>
      <c r="I173" s="9"/>
      <c r="J173" s="9"/>
      <c r="K173" s="6"/>
      <c r="L173" s="6"/>
      <c r="P173" s="2"/>
      <c r="T173" s="2"/>
      <c r="U173" s="2"/>
      <c r="V173" s="2"/>
      <c r="W173" s="172"/>
      <c r="X173" s="172"/>
      <c r="Y173" s="2"/>
      <c r="Z173" s="2"/>
      <c r="AE173" s="2"/>
      <c r="AG173" s="2"/>
      <c r="AH173" s="2"/>
      <c r="AI173" s="2"/>
      <c r="AJ173" s="2"/>
      <c r="AK173" s="2"/>
      <c r="AL173" s="2"/>
      <c r="AO173" s="2"/>
      <c r="AP173" s="2"/>
      <c r="AQ173" s="2"/>
      <c r="AR173" s="2"/>
    </row>
    <row r="174" spans="5:44" s="1" customFormat="1" ht="27">
      <c r="E174" s="4"/>
      <c r="H174" s="5"/>
      <c r="I174" s="9"/>
      <c r="J174" s="9"/>
      <c r="K174" s="6"/>
      <c r="L174" s="6"/>
      <c r="P174" s="2"/>
      <c r="T174" s="2"/>
      <c r="U174" s="2"/>
      <c r="V174" s="2"/>
      <c r="W174" s="172"/>
      <c r="X174" s="172"/>
      <c r="Y174" s="2"/>
      <c r="Z174" s="2"/>
      <c r="AE174" s="2"/>
      <c r="AG174" s="2"/>
      <c r="AH174" s="2"/>
      <c r="AI174" s="2"/>
      <c r="AJ174" s="2"/>
      <c r="AK174" s="2"/>
      <c r="AL174" s="2"/>
      <c r="AO174" s="2"/>
      <c r="AP174" s="2"/>
      <c r="AQ174" s="2"/>
      <c r="AR174" s="2"/>
    </row>
    <row r="175" spans="5:44" s="1" customFormat="1" ht="27">
      <c r="E175" s="4"/>
      <c r="H175" s="5"/>
      <c r="I175" s="9"/>
      <c r="J175" s="9"/>
      <c r="K175" s="6"/>
      <c r="L175" s="6"/>
      <c r="P175" s="2"/>
      <c r="T175" s="2"/>
      <c r="U175" s="2"/>
      <c r="V175" s="2"/>
      <c r="W175" s="172"/>
      <c r="X175" s="172"/>
      <c r="Y175" s="2"/>
      <c r="Z175" s="2"/>
      <c r="AE175" s="2"/>
      <c r="AG175" s="2"/>
      <c r="AH175" s="2"/>
      <c r="AI175" s="2"/>
      <c r="AJ175" s="2"/>
      <c r="AK175" s="2"/>
      <c r="AL175" s="2"/>
      <c r="AO175" s="2"/>
      <c r="AP175" s="2"/>
      <c r="AQ175" s="2"/>
      <c r="AR175" s="2"/>
    </row>
    <row r="176" spans="5:44" s="1" customFormat="1" ht="27">
      <c r="E176" s="4"/>
      <c r="H176" s="5"/>
      <c r="I176" s="9"/>
      <c r="J176" s="9"/>
      <c r="K176" s="6"/>
      <c r="L176" s="6"/>
      <c r="P176" s="2"/>
      <c r="T176" s="2"/>
      <c r="U176" s="2"/>
      <c r="V176" s="2"/>
      <c r="W176" s="172"/>
      <c r="X176" s="172"/>
      <c r="Y176" s="2"/>
      <c r="Z176" s="2"/>
      <c r="AE176" s="2"/>
      <c r="AG176" s="2"/>
      <c r="AH176" s="2"/>
      <c r="AI176" s="2"/>
      <c r="AJ176" s="2"/>
      <c r="AK176" s="2"/>
      <c r="AL176" s="2"/>
      <c r="AO176" s="2"/>
      <c r="AP176" s="2"/>
      <c r="AQ176" s="2"/>
      <c r="AR176" s="2"/>
    </row>
    <row r="177" spans="5:44" s="1" customFormat="1" ht="27">
      <c r="E177" s="4"/>
      <c r="H177" s="5"/>
      <c r="I177" s="9"/>
      <c r="J177" s="9"/>
      <c r="K177" s="6"/>
      <c r="L177" s="6"/>
      <c r="P177" s="2"/>
      <c r="T177" s="2"/>
      <c r="U177" s="2"/>
      <c r="V177" s="2"/>
      <c r="W177" s="172"/>
      <c r="X177" s="172"/>
      <c r="Y177" s="2"/>
      <c r="Z177" s="2"/>
      <c r="AE177" s="2"/>
      <c r="AG177" s="2"/>
      <c r="AH177" s="2"/>
      <c r="AI177" s="2"/>
      <c r="AJ177" s="2"/>
      <c r="AK177" s="2"/>
      <c r="AL177" s="2"/>
      <c r="AO177" s="2"/>
      <c r="AP177" s="2"/>
      <c r="AQ177" s="2"/>
      <c r="AR177" s="2"/>
    </row>
    <row r="178" spans="5:44" s="1" customFormat="1" ht="27">
      <c r="E178" s="4"/>
      <c r="H178" s="5"/>
      <c r="I178" s="9"/>
      <c r="J178" s="9"/>
      <c r="K178" s="6"/>
      <c r="L178" s="6"/>
      <c r="P178" s="2"/>
      <c r="T178" s="2"/>
      <c r="U178" s="2"/>
      <c r="V178" s="2"/>
      <c r="W178" s="172"/>
      <c r="X178" s="172"/>
      <c r="Y178" s="2"/>
      <c r="Z178" s="2"/>
      <c r="AE178" s="2"/>
      <c r="AG178" s="2"/>
      <c r="AH178" s="2"/>
      <c r="AI178" s="2"/>
      <c r="AJ178" s="2"/>
      <c r="AK178" s="2"/>
      <c r="AL178" s="2"/>
      <c r="AO178" s="2"/>
      <c r="AP178" s="2"/>
      <c r="AQ178" s="2"/>
      <c r="AR178" s="2"/>
    </row>
    <row r="179" spans="5:44" s="1" customFormat="1" ht="27">
      <c r="E179" s="4"/>
      <c r="H179" s="5"/>
      <c r="I179" s="9"/>
      <c r="J179" s="9"/>
      <c r="K179" s="6"/>
      <c r="L179" s="6"/>
      <c r="P179" s="2"/>
      <c r="T179" s="2"/>
      <c r="U179" s="2"/>
      <c r="V179" s="2"/>
      <c r="W179" s="172"/>
      <c r="X179" s="172"/>
      <c r="Y179" s="2"/>
      <c r="Z179" s="2"/>
      <c r="AE179" s="2"/>
      <c r="AG179" s="2"/>
      <c r="AH179" s="2"/>
      <c r="AI179" s="2"/>
      <c r="AJ179" s="2"/>
      <c r="AK179" s="2"/>
      <c r="AL179" s="2"/>
      <c r="AO179" s="2"/>
      <c r="AP179" s="2"/>
      <c r="AQ179" s="2"/>
      <c r="AR179" s="2"/>
    </row>
    <row r="180" spans="5:44" s="1" customFormat="1" ht="27">
      <c r="E180" s="4"/>
      <c r="H180" s="5"/>
      <c r="I180" s="9"/>
      <c r="J180" s="9"/>
      <c r="K180" s="6"/>
      <c r="L180" s="6"/>
      <c r="P180" s="2"/>
      <c r="T180" s="2"/>
      <c r="U180" s="2"/>
      <c r="V180" s="2"/>
      <c r="W180" s="172"/>
      <c r="X180" s="172"/>
      <c r="Y180" s="2"/>
      <c r="Z180" s="2"/>
      <c r="AE180" s="2"/>
      <c r="AG180" s="2"/>
      <c r="AH180" s="2"/>
      <c r="AI180" s="2"/>
      <c r="AJ180" s="2"/>
      <c r="AK180" s="2"/>
      <c r="AL180" s="2"/>
      <c r="AO180" s="2"/>
      <c r="AP180" s="2"/>
      <c r="AQ180" s="2"/>
      <c r="AR180" s="2"/>
    </row>
    <row r="181" spans="5:44" s="1" customFormat="1" ht="27">
      <c r="E181" s="4"/>
      <c r="H181" s="5"/>
      <c r="I181" s="9"/>
      <c r="J181" s="9"/>
      <c r="K181" s="6"/>
      <c r="L181" s="6"/>
      <c r="P181" s="2"/>
      <c r="T181" s="2"/>
      <c r="U181" s="2"/>
      <c r="V181" s="2"/>
      <c r="W181" s="172"/>
      <c r="X181" s="172"/>
      <c r="Y181" s="2"/>
      <c r="Z181" s="2"/>
      <c r="AE181" s="2"/>
      <c r="AG181" s="2"/>
      <c r="AH181" s="2"/>
      <c r="AI181" s="2"/>
      <c r="AJ181" s="2"/>
      <c r="AK181" s="2"/>
      <c r="AL181" s="2"/>
      <c r="AO181" s="2"/>
      <c r="AP181" s="2"/>
      <c r="AQ181" s="2"/>
      <c r="AR181" s="2"/>
    </row>
    <row r="182" spans="5:44" s="1" customFormat="1" ht="27">
      <c r="E182" s="4"/>
      <c r="H182" s="5"/>
      <c r="I182" s="9"/>
      <c r="J182" s="9"/>
      <c r="K182" s="6"/>
      <c r="L182" s="6"/>
      <c r="P182" s="2"/>
      <c r="T182" s="2"/>
      <c r="U182" s="2"/>
      <c r="V182" s="2"/>
      <c r="W182" s="172"/>
      <c r="X182" s="172"/>
      <c r="Y182" s="2"/>
      <c r="Z182" s="2"/>
      <c r="AE182" s="2"/>
      <c r="AG182" s="2"/>
      <c r="AH182" s="2"/>
      <c r="AI182" s="2"/>
      <c r="AJ182" s="2"/>
      <c r="AK182" s="2"/>
      <c r="AL182" s="2"/>
      <c r="AO182" s="2"/>
      <c r="AP182" s="2"/>
      <c r="AQ182" s="2"/>
      <c r="AR182" s="2"/>
    </row>
    <row r="183" spans="5:44" s="1" customFormat="1" ht="27">
      <c r="E183" s="4"/>
      <c r="H183" s="5"/>
      <c r="I183" s="9"/>
      <c r="J183" s="9"/>
      <c r="K183" s="6"/>
      <c r="L183" s="6"/>
      <c r="P183" s="2"/>
      <c r="T183" s="2"/>
      <c r="U183" s="2"/>
      <c r="V183" s="2"/>
      <c r="W183" s="172"/>
      <c r="X183" s="172"/>
      <c r="Y183" s="2"/>
      <c r="Z183" s="2"/>
      <c r="AE183" s="2"/>
      <c r="AG183" s="2"/>
      <c r="AH183" s="2"/>
      <c r="AI183" s="2"/>
      <c r="AJ183" s="2"/>
      <c r="AK183" s="2"/>
      <c r="AL183" s="2"/>
      <c r="AO183" s="2"/>
      <c r="AP183" s="2"/>
      <c r="AQ183" s="2"/>
      <c r="AR183" s="2"/>
    </row>
    <row r="184" spans="5:44" s="1" customFormat="1" ht="27">
      <c r="E184" s="4"/>
      <c r="H184" s="5"/>
      <c r="I184" s="9"/>
      <c r="J184" s="9"/>
      <c r="K184" s="6"/>
      <c r="L184" s="6"/>
      <c r="P184" s="2"/>
      <c r="T184" s="2"/>
      <c r="U184" s="2"/>
      <c r="V184" s="2"/>
      <c r="W184" s="172"/>
      <c r="X184" s="172"/>
      <c r="Y184" s="2"/>
      <c r="Z184" s="2"/>
      <c r="AE184" s="2"/>
      <c r="AG184" s="2"/>
      <c r="AH184" s="2"/>
      <c r="AI184" s="2"/>
      <c r="AJ184" s="2"/>
      <c r="AK184" s="2"/>
      <c r="AL184" s="2"/>
      <c r="AO184" s="2"/>
      <c r="AP184" s="2"/>
      <c r="AQ184" s="2"/>
      <c r="AR184" s="2"/>
    </row>
    <row r="185" spans="5:44" s="1" customFormat="1" ht="27">
      <c r="E185" s="4"/>
      <c r="H185" s="5"/>
      <c r="I185" s="9"/>
      <c r="J185" s="9"/>
      <c r="K185" s="6"/>
      <c r="L185" s="6"/>
      <c r="P185" s="2"/>
      <c r="T185" s="2"/>
      <c r="U185" s="2"/>
      <c r="V185" s="2"/>
      <c r="W185" s="172"/>
      <c r="X185" s="172"/>
      <c r="Y185" s="2"/>
      <c r="Z185" s="2"/>
      <c r="AE185" s="2"/>
      <c r="AG185" s="2"/>
      <c r="AH185" s="2"/>
      <c r="AI185" s="2"/>
      <c r="AJ185" s="2"/>
      <c r="AK185" s="2"/>
      <c r="AL185" s="2"/>
      <c r="AO185" s="2"/>
      <c r="AP185" s="2"/>
      <c r="AQ185" s="2"/>
      <c r="AR185" s="2"/>
    </row>
    <row r="186" spans="5:44" s="1" customFormat="1" ht="27">
      <c r="E186" s="4"/>
      <c r="H186" s="5"/>
      <c r="I186" s="9"/>
      <c r="J186" s="9"/>
      <c r="K186" s="6"/>
      <c r="L186" s="6"/>
      <c r="P186" s="2"/>
      <c r="T186" s="2"/>
      <c r="U186" s="2"/>
      <c r="V186" s="2"/>
      <c r="W186" s="172"/>
      <c r="X186" s="172"/>
      <c r="Y186" s="2"/>
      <c r="Z186" s="2"/>
      <c r="AE186" s="2"/>
      <c r="AG186" s="2"/>
      <c r="AH186" s="2"/>
      <c r="AI186" s="2"/>
      <c r="AJ186" s="2"/>
      <c r="AK186" s="2"/>
      <c r="AL186" s="2"/>
      <c r="AO186" s="2"/>
      <c r="AP186" s="2"/>
      <c r="AQ186" s="2"/>
      <c r="AR186" s="2"/>
    </row>
    <row r="187" spans="5:44" s="1" customFormat="1" ht="27">
      <c r="E187" s="4"/>
      <c r="H187" s="5"/>
      <c r="I187" s="9"/>
      <c r="J187" s="9"/>
      <c r="K187" s="6"/>
      <c r="L187" s="6"/>
      <c r="P187" s="2"/>
      <c r="T187" s="2"/>
      <c r="U187" s="2"/>
      <c r="V187" s="2"/>
      <c r="W187" s="172"/>
      <c r="X187" s="172"/>
      <c r="Y187" s="2"/>
      <c r="Z187" s="2"/>
      <c r="AE187" s="2"/>
      <c r="AG187" s="2"/>
      <c r="AH187" s="2"/>
      <c r="AI187" s="2"/>
      <c r="AJ187" s="2"/>
      <c r="AK187" s="2"/>
      <c r="AL187" s="2"/>
      <c r="AO187" s="2"/>
      <c r="AP187" s="2"/>
      <c r="AQ187" s="2"/>
      <c r="AR187" s="2"/>
    </row>
    <row r="188" spans="5:44" s="1" customFormat="1" ht="27">
      <c r="E188" s="4"/>
      <c r="H188" s="5"/>
      <c r="I188" s="9"/>
      <c r="J188" s="9"/>
      <c r="K188" s="6"/>
      <c r="L188" s="6"/>
      <c r="P188" s="2"/>
      <c r="T188" s="2"/>
      <c r="U188" s="2"/>
      <c r="V188" s="2"/>
      <c r="W188" s="172"/>
      <c r="X188" s="172"/>
      <c r="Y188" s="2"/>
      <c r="Z188" s="2"/>
      <c r="AE188" s="2"/>
      <c r="AG188" s="2"/>
      <c r="AH188" s="2"/>
      <c r="AI188" s="2"/>
      <c r="AJ188" s="2"/>
      <c r="AK188" s="2"/>
      <c r="AL188" s="2"/>
      <c r="AO188" s="2"/>
      <c r="AP188" s="2"/>
      <c r="AQ188" s="2"/>
      <c r="AR188" s="2"/>
    </row>
    <row r="189" spans="5:44" s="1" customFormat="1" ht="27">
      <c r="E189" s="4"/>
      <c r="H189" s="5"/>
      <c r="I189" s="9"/>
      <c r="J189" s="9"/>
      <c r="K189" s="6"/>
      <c r="L189" s="6"/>
      <c r="P189" s="2"/>
      <c r="T189" s="2"/>
      <c r="U189" s="2"/>
      <c r="V189" s="2"/>
      <c r="W189" s="172"/>
      <c r="X189" s="172"/>
      <c r="Y189" s="2"/>
      <c r="Z189" s="2"/>
      <c r="AE189" s="2"/>
      <c r="AG189" s="2"/>
      <c r="AH189" s="2"/>
      <c r="AI189" s="2"/>
      <c r="AJ189" s="2"/>
      <c r="AK189" s="2"/>
      <c r="AL189" s="2"/>
      <c r="AO189" s="2"/>
      <c r="AP189" s="2"/>
      <c r="AQ189" s="2"/>
      <c r="AR189" s="2"/>
    </row>
    <row r="190" spans="5:44" s="1" customFormat="1" ht="27">
      <c r="E190" s="4"/>
      <c r="H190" s="5"/>
      <c r="I190" s="9"/>
      <c r="J190" s="9"/>
      <c r="K190" s="6"/>
      <c r="L190" s="6"/>
      <c r="P190" s="2"/>
      <c r="T190" s="2"/>
      <c r="U190" s="2"/>
      <c r="V190" s="2"/>
      <c r="W190" s="172"/>
      <c r="X190" s="172"/>
      <c r="Y190" s="2"/>
      <c r="Z190" s="2"/>
      <c r="AE190" s="2"/>
      <c r="AG190" s="2"/>
      <c r="AH190" s="2"/>
      <c r="AI190" s="2"/>
      <c r="AJ190" s="2"/>
      <c r="AK190" s="2"/>
      <c r="AL190" s="2"/>
      <c r="AO190" s="2"/>
      <c r="AP190" s="2"/>
      <c r="AQ190" s="2"/>
      <c r="AR190" s="2"/>
    </row>
    <row r="191" spans="5:44" s="1" customFormat="1" ht="27">
      <c r="E191" s="4"/>
      <c r="H191" s="5"/>
      <c r="I191" s="9"/>
      <c r="J191" s="9"/>
      <c r="K191" s="6"/>
      <c r="L191" s="6"/>
      <c r="P191" s="2"/>
      <c r="T191" s="2"/>
      <c r="U191" s="2"/>
      <c r="V191" s="2"/>
      <c r="W191" s="172"/>
      <c r="X191" s="172"/>
      <c r="Y191" s="2"/>
      <c r="Z191" s="2"/>
      <c r="AE191" s="2"/>
      <c r="AG191" s="2"/>
      <c r="AH191" s="2"/>
      <c r="AI191" s="2"/>
      <c r="AJ191" s="2"/>
      <c r="AK191" s="2"/>
      <c r="AL191" s="2"/>
      <c r="AO191" s="2"/>
      <c r="AP191" s="2"/>
      <c r="AQ191" s="2"/>
      <c r="AR191" s="2"/>
    </row>
    <row r="192" spans="5:44" s="1" customFormat="1" ht="27">
      <c r="E192" s="4"/>
      <c r="H192" s="5"/>
      <c r="I192" s="9"/>
      <c r="J192" s="9"/>
      <c r="K192" s="6"/>
      <c r="L192" s="6"/>
      <c r="P192" s="2"/>
      <c r="T192" s="2"/>
      <c r="U192" s="2"/>
      <c r="V192" s="2"/>
      <c r="W192" s="172"/>
      <c r="X192" s="172"/>
      <c r="Y192" s="2"/>
      <c r="Z192" s="2"/>
      <c r="AE192" s="2"/>
      <c r="AG192" s="2"/>
      <c r="AH192" s="2"/>
      <c r="AI192" s="2"/>
      <c r="AJ192" s="2"/>
      <c r="AK192" s="2"/>
      <c r="AL192" s="2"/>
      <c r="AO192" s="2"/>
      <c r="AP192" s="2"/>
      <c r="AQ192" s="2"/>
      <c r="AR192" s="2"/>
    </row>
    <row r="193" spans="5:44" s="1" customFormat="1" ht="27">
      <c r="E193" s="4"/>
      <c r="H193" s="5"/>
      <c r="I193" s="9"/>
      <c r="J193" s="9"/>
      <c r="K193" s="6"/>
      <c r="L193" s="6"/>
      <c r="P193" s="2"/>
      <c r="T193" s="2"/>
      <c r="U193" s="2"/>
      <c r="V193" s="2"/>
      <c r="W193" s="172"/>
      <c r="X193" s="172"/>
      <c r="Y193" s="2"/>
      <c r="Z193" s="2"/>
      <c r="AE193" s="2"/>
      <c r="AG193" s="2"/>
      <c r="AH193" s="2"/>
      <c r="AI193" s="2"/>
      <c r="AJ193" s="2"/>
      <c r="AK193" s="2"/>
      <c r="AL193" s="2"/>
      <c r="AO193" s="2"/>
      <c r="AP193" s="2"/>
      <c r="AQ193" s="2"/>
      <c r="AR193" s="2"/>
    </row>
    <row r="194" spans="5:44" s="1" customFormat="1" ht="27">
      <c r="E194" s="4"/>
      <c r="H194" s="5"/>
      <c r="I194" s="9"/>
      <c r="J194" s="9"/>
      <c r="K194" s="6"/>
      <c r="L194" s="6"/>
      <c r="P194" s="2"/>
      <c r="T194" s="2"/>
      <c r="U194" s="2"/>
      <c r="V194" s="2"/>
      <c r="W194" s="172"/>
      <c r="X194" s="172"/>
      <c r="Y194" s="2"/>
      <c r="Z194" s="2"/>
      <c r="AE194" s="2"/>
      <c r="AG194" s="2"/>
      <c r="AH194" s="2"/>
      <c r="AI194" s="2"/>
      <c r="AJ194" s="2"/>
      <c r="AK194" s="2"/>
      <c r="AL194" s="2"/>
      <c r="AO194" s="2"/>
      <c r="AP194" s="2"/>
      <c r="AQ194" s="2"/>
      <c r="AR194" s="2"/>
    </row>
    <row r="195" spans="5:44" s="1" customFormat="1" ht="27">
      <c r="E195" s="4"/>
      <c r="H195" s="5"/>
      <c r="I195" s="9"/>
      <c r="J195" s="9"/>
      <c r="K195" s="6"/>
      <c r="L195" s="6"/>
      <c r="P195" s="2"/>
      <c r="T195" s="2"/>
      <c r="U195" s="2"/>
      <c r="V195" s="2"/>
      <c r="W195" s="172"/>
      <c r="X195" s="172"/>
      <c r="Y195" s="2"/>
      <c r="Z195" s="2"/>
      <c r="AE195" s="2"/>
      <c r="AG195" s="2"/>
      <c r="AH195" s="2"/>
      <c r="AI195" s="2"/>
      <c r="AJ195" s="2"/>
      <c r="AK195" s="2"/>
      <c r="AL195" s="2"/>
      <c r="AO195" s="2"/>
      <c r="AP195" s="2"/>
      <c r="AQ195" s="2"/>
      <c r="AR195" s="2"/>
    </row>
    <row r="196" spans="5:44" s="1" customFormat="1" ht="27">
      <c r="E196" s="2"/>
      <c r="H196" s="5"/>
      <c r="I196" s="9"/>
      <c r="J196" s="9"/>
      <c r="K196" s="6"/>
      <c r="L196" s="6"/>
      <c r="P196" s="2"/>
      <c r="T196" s="2"/>
      <c r="U196" s="2"/>
      <c r="V196" s="2"/>
      <c r="W196" s="172"/>
      <c r="X196" s="172"/>
      <c r="Y196" s="2"/>
      <c r="Z196" s="2"/>
      <c r="AE196" s="2"/>
      <c r="AG196" s="2"/>
      <c r="AH196" s="2"/>
      <c r="AI196" s="2"/>
      <c r="AJ196" s="2"/>
      <c r="AK196" s="2"/>
      <c r="AL196" s="2"/>
      <c r="AO196" s="2"/>
      <c r="AP196" s="2"/>
      <c r="AQ196" s="2"/>
      <c r="AR196" s="2"/>
    </row>
    <row r="197" spans="5:44" s="1" customFormat="1" ht="27">
      <c r="E197" s="2"/>
      <c r="H197" s="5"/>
      <c r="I197" s="9"/>
      <c r="J197" s="9"/>
      <c r="K197" s="6"/>
      <c r="L197" s="6"/>
      <c r="P197" s="2"/>
      <c r="T197" s="2"/>
      <c r="U197" s="2"/>
      <c r="V197" s="2"/>
      <c r="W197" s="172"/>
      <c r="X197" s="172"/>
      <c r="Y197" s="2"/>
      <c r="Z197" s="2"/>
      <c r="AE197" s="2"/>
      <c r="AG197" s="2"/>
      <c r="AH197" s="2"/>
      <c r="AI197" s="2"/>
      <c r="AJ197" s="2"/>
      <c r="AK197" s="2"/>
      <c r="AL197" s="2"/>
      <c r="AO197" s="2"/>
      <c r="AP197" s="2"/>
      <c r="AQ197" s="2"/>
      <c r="AR197" s="2"/>
    </row>
    <row r="198" spans="5:44" s="1" customFormat="1" ht="27">
      <c r="E198" s="2"/>
      <c r="H198" s="5"/>
      <c r="I198" s="9"/>
      <c r="J198" s="9"/>
      <c r="K198" s="6"/>
      <c r="L198" s="6"/>
      <c r="P198" s="2"/>
      <c r="T198" s="2"/>
      <c r="U198" s="2"/>
      <c r="V198" s="2"/>
      <c r="W198" s="172"/>
      <c r="X198" s="172"/>
      <c r="Y198" s="2"/>
      <c r="Z198" s="2"/>
      <c r="AE198" s="2"/>
      <c r="AG198" s="2"/>
      <c r="AH198" s="2"/>
      <c r="AI198" s="2"/>
      <c r="AJ198" s="2"/>
      <c r="AK198" s="2"/>
      <c r="AL198" s="2"/>
      <c r="AO198" s="2"/>
      <c r="AP198" s="2"/>
      <c r="AQ198" s="2"/>
      <c r="AR198" s="2"/>
    </row>
    <row r="199" spans="5:44" s="1" customFormat="1" ht="27">
      <c r="E199" s="2"/>
      <c r="H199" s="5"/>
      <c r="I199" s="9"/>
      <c r="J199" s="9"/>
      <c r="K199" s="6"/>
      <c r="L199" s="6"/>
      <c r="P199" s="2"/>
      <c r="T199" s="2"/>
      <c r="U199" s="2"/>
      <c r="V199" s="2"/>
      <c r="W199" s="172"/>
      <c r="X199" s="172"/>
      <c r="Y199" s="2"/>
      <c r="Z199" s="2"/>
      <c r="AE199" s="2"/>
      <c r="AG199" s="2"/>
      <c r="AH199" s="2"/>
      <c r="AI199" s="2"/>
      <c r="AJ199" s="2"/>
      <c r="AK199" s="2"/>
      <c r="AL199" s="2"/>
      <c r="AO199" s="2"/>
      <c r="AP199" s="2"/>
      <c r="AQ199" s="2"/>
      <c r="AR199" s="2"/>
    </row>
    <row r="200" spans="5:44" s="1" customFormat="1" ht="27">
      <c r="E200" s="2"/>
      <c r="H200" s="5"/>
      <c r="I200" s="9"/>
      <c r="J200" s="9"/>
      <c r="K200" s="6"/>
      <c r="L200" s="6"/>
      <c r="P200" s="2"/>
      <c r="T200" s="2"/>
      <c r="U200" s="2"/>
      <c r="V200" s="2"/>
      <c r="W200" s="172"/>
      <c r="X200" s="172"/>
      <c r="Y200" s="2"/>
      <c r="Z200" s="2"/>
      <c r="AE200" s="2"/>
      <c r="AG200" s="2"/>
      <c r="AH200" s="2"/>
      <c r="AI200" s="2"/>
      <c r="AJ200" s="2"/>
      <c r="AK200" s="2"/>
      <c r="AL200" s="2"/>
      <c r="AO200" s="2"/>
      <c r="AP200" s="2"/>
      <c r="AQ200" s="2"/>
      <c r="AR200" s="2"/>
    </row>
    <row r="201" spans="5:44" s="1" customFormat="1" ht="27">
      <c r="E201" s="2"/>
      <c r="H201" s="5"/>
      <c r="I201" s="9"/>
      <c r="J201" s="9"/>
      <c r="K201" s="6"/>
      <c r="L201" s="6"/>
      <c r="P201" s="2"/>
      <c r="T201" s="2"/>
      <c r="U201" s="2"/>
      <c r="V201" s="2"/>
      <c r="W201" s="172"/>
      <c r="X201" s="172"/>
      <c r="Y201" s="2"/>
      <c r="Z201" s="2"/>
      <c r="AE201" s="2"/>
      <c r="AG201" s="2"/>
      <c r="AH201" s="2"/>
      <c r="AI201" s="2"/>
      <c r="AJ201" s="2"/>
      <c r="AK201" s="2"/>
      <c r="AL201" s="2"/>
      <c r="AO201" s="2"/>
      <c r="AP201" s="2"/>
      <c r="AQ201" s="2"/>
      <c r="AR201" s="2"/>
    </row>
    <row r="202" spans="5:44" s="1" customFormat="1" ht="27">
      <c r="E202" s="2"/>
      <c r="H202" s="5"/>
      <c r="I202" s="9"/>
      <c r="J202" s="9"/>
      <c r="K202" s="6"/>
      <c r="L202" s="6"/>
      <c r="P202" s="2"/>
      <c r="T202" s="2"/>
      <c r="U202" s="2"/>
      <c r="V202" s="2"/>
      <c r="W202" s="172"/>
      <c r="X202" s="172"/>
      <c r="Y202" s="2"/>
      <c r="Z202" s="2"/>
      <c r="AE202" s="2"/>
      <c r="AG202" s="2"/>
      <c r="AH202" s="2"/>
      <c r="AI202" s="2"/>
      <c r="AJ202" s="2"/>
      <c r="AK202" s="2"/>
      <c r="AL202" s="2"/>
      <c r="AO202" s="2"/>
      <c r="AP202" s="2"/>
      <c r="AQ202" s="2"/>
      <c r="AR202" s="2"/>
    </row>
    <row r="203" spans="5:44" s="1" customFormat="1" ht="27">
      <c r="E203" s="2"/>
      <c r="H203" s="5"/>
      <c r="I203" s="9"/>
      <c r="J203" s="9"/>
      <c r="K203" s="6"/>
      <c r="L203" s="6"/>
      <c r="P203" s="2"/>
      <c r="T203" s="2"/>
      <c r="U203" s="2"/>
      <c r="V203" s="2"/>
      <c r="W203" s="172"/>
      <c r="X203" s="172"/>
      <c r="Y203" s="2"/>
      <c r="Z203" s="2"/>
      <c r="AE203" s="2"/>
      <c r="AG203" s="2"/>
      <c r="AH203" s="2"/>
      <c r="AI203" s="2"/>
      <c r="AJ203" s="2"/>
      <c r="AK203" s="2"/>
      <c r="AL203" s="2"/>
      <c r="AO203" s="2"/>
      <c r="AP203" s="2"/>
      <c r="AQ203" s="2"/>
      <c r="AR203" s="2"/>
    </row>
    <row r="204" spans="5:44" s="1" customFormat="1" ht="27">
      <c r="E204" s="2"/>
      <c r="H204" s="5"/>
      <c r="I204" s="9"/>
      <c r="J204" s="9"/>
      <c r="K204" s="6"/>
      <c r="L204" s="6"/>
      <c r="P204" s="2"/>
      <c r="T204" s="2"/>
      <c r="U204" s="2"/>
      <c r="V204" s="2"/>
      <c r="W204" s="172"/>
      <c r="X204" s="172"/>
      <c r="Y204" s="2"/>
      <c r="Z204" s="2"/>
      <c r="AE204" s="2"/>
      <c r="AG204" s="2"/>
      <c r="AH204" s="2"/>
      <c r="AI204" s="2"/>
      <c r="AJ204" s="2"/>
      <c r="AK204" s="2"/>
      <c r="AL204" s="2"/>
      <c r="AO204" s="2"/>
      <c r="AP204" s="2"/>
      <c r="AQ204" s="2"/>
      <c r="AR204" s="2"/>
    </row>
    <row r="205" spans="5:44" s="1" customFormat="1" ht="27">
      <c r="E205" s="2"/>
      <c r="H205" s="5"/>
      <c r="I205" s="9"/>
      <c r="J205" s="9"/>
      <c r="K205" s="6"/>
      <c r="L205" s="6"/>
      <c r="P205" s="2"/>
      <c r="T205" s="2"/>
      <c r="U205" s="2"/>
      <c r="V205" s="2"/>
      <c r="W205" s="172"/>
      <c r="X205" s="172"/>
      <c r="Y205" s="2"/>
      <c r="Z205" s="2"/>
      <c r="AE205" s="2"/>
      <c r="AG205" s="2"/>
      <c r="AH205" s="2"/>
      <c r="AI205" s="2"/>
      <c r="AJ205" s="2"/>
      <c r="AK205" s="2"/>
      <c r="AL205" s="2"/>
      <c r="AO205" s="2"/>
      <c r="AP205" s="2"/>
      <c r="AQ205" s="2"/>
      <c r="AR205" s="2"/>
    </row>
    <row r="206" spans="5:44" s="1" customFormat="1" ht="27">
      <c r="E206" s="2"/>
      <c r="H206" s="5"/>
      <c r="I206" s="9"/>
      <c r="J206" s="9"/>
      <c r="K206" s="6"/>
      <c r="L206" s="6"/>
      <c r="P206" s="2"/>
      <c r="T206" s="2"/>
      <c r="U206" s="2"/>
      <c r="V206" s="2"/>
      <c r="W206" s="172"/>
      <c r="X206" s="172"/>
      <c r="Y206" s="2"/>
      <c r="Z206" s="2"/>
      <c r="AE206" s="2"/>
      <c r="AG206" s="2"/>
      <c r="AH206" s="2"/>
      <c r="AI206" s="2"/>
      <c r="AJ206" s="2"/>
      <c r="AK206" s="2"/>
      <c r="AL206" s="2"/>
      <c r="AO206" s="2"/>
      <c r="AP206" s="2"/>
      <c r="AQ206" s="2"/>
      <c r="AR206" s="2"/>
    </row>
    <row r="207" spans="5:44" s="1" customFormat="1" ht="27">
      <c r="E207" s="2"/>
      <c r="H207" s="5"/>
      <c r="I207" s="9"/>
      <c r="J207" s="9"/>
      <c r="K207" s="6"/>
      <c r="L207" s="6"/>
      <c r="P207" s="2"/>
      <c r="T207" s="2"/>
      <c r="U207" s="2"/>
      <c r="V207" s="2"/>
      <c r="W207" s="172"/>
      <c r="X207" s="172"/>
      <c r="Y207" s="2"/>
      <c r="Z207" s="2"/>
      <c r="AE207" s="2"/>
      <c r="AG207" s="2"/>
      <c r="AH207" s="2"/>
      <c r="AI207" s="2"/>
      <c r="AJ207" s="2"/>
      <c r="AK207" s="2"/>
      <c r="AL207" s="2"/>
      <c r="AO207" s="2"/>
      <c r="AP207" s="2"/>
      <c r="AQ207" s="2"/>
      <c r="AR207" s="2"/>
    </row>
    <row r="208" spans="5:44" s="1" customFormat="1" ht="27">
      <c r="E208" s="2"/>
      <c r="H208" s="5"/>
      <c r="I208" s="9"/>
      <c r="J208" s="9"/>
      <c r="K208" s="6"/>
      <c r="L208" s="6"/>
      <c r="P208" s="2"/>
      <c r="T208" s="2"/>
      <c r="U208" s="2"/>
      <c r="V208" s="2"/>
      <c r="W208" s="172"/>
      <c r="X208" s="172"/>
      <c r="Y208" s="2"/>
      <c r="Z208" s="2"/>
      <c r="AE208" s="2"/>
      <c r="AG208" s="2"/>
      <c r="AH208" s="2"/>
      <c r="AI208" s="2"/>
      <c r="AJ208" s="2"/>
      <c r="AK208" s="2"/>
      <c r="AL208" s="2"/>
      <c r="AO208" s="2"/>
      <c r="AP208" s="2"/>
      <c r="AQ208" s="2"/>
      <c r="AR208" s="2"/>
    </row>
    <row r="209" spans="5:44" s="1" customFormat="1" ht="27">
      <c r="E209" s="2"/>
      <c r="H209" s="5"/>
      <c r="I209" s="9"/>
      <c r="J209" s="9"/>
      <c r="K209" s="6"/>
      <c r="L209" s="6"/>
      <c r="P209" s="2"/>
      <c r="T209" s="2"/>
      <c r="U209" s="2"/>
      <c r="V209" s="2"/>
      <c r="W209" s="172"/>
      <c r="X209" s="172"/>
      <c r="Y209" s="2"/>
      <c r="Z209" s="2"/>
      <c r="AE209" s="2"/>
      <c r="AG209" s="2"/>
      <c r="AH209" s="2"/>
      <c r="AI209" s="2"/>
      <c r="AJ209" s="2"/>
      <c r="AK209" s="2"/>
      <c r="AL209" s="2"/>
      <c r="AO209" s="2"/>
      <c r="AP209" s="2"/>
      <c r="AQ209" s="2"/>
      <c r="AR209" s="2"/>
    </row>
    <row r="210" spans="5:44" s="1" customFormat="1" ht="27">
      <c r="E210" s="2"/>
      <c r="H210" s="5"/>
      <c r="I210" s="9"/>
      <c r="J210" s="9"/>
      <c r="K210" s="6"/>
      <c r="L210" s="6"/>
      <c r="P210" s="2"/>
      <c r="T210" s="2"/>
      <c r="U210" s="2"/>
      <c r="V210" s="2"/>
      <c r="W210" s="172"/>
      <c r="X210" s="172"/>
      <c r="Y210" s="2"/>
      <c r="Z210" s="2"/>
      <c r="AE210" s="2"/>
      <c r="AG210" s="2"/>
      <c r="AH210" s="2"/>
      <c r="AI210" s="2"/>
      <c r="AJ210" s="2"/>
      <c r="AK210" s="2"/>
      <c r="AL210" s="2"/>
      <c r="AO210" s="2"/>
      <c r="AP210" s="2"/>
      <c r="AQ210" s="2"/>
      <c r="AR210" s="2"/>
    </row>
    <row r="211" spans="5:44" s="1" customFormat="1" ht="27">
      <c r="E211" s="2"/>
      <c r="H211" s="5"/>
      <c r="I211" s="9"/>
      <c r="J211" s="9"/>
      <c r="K211" s="6"/>
      <c r="L211" s="6"/>
      <c r="P211" s="2"/>
      <c r="T211" s="2"/>
      <c r="U211" s="2"/>
      <c r="V211" s="2"/>
      <c r="W211" s="172"/>
      <c r="X211" s="172"/>
      <c r="Y211" s="2"/>
      <c r="Z211" s="2"/>
      <c r="AE211" s="2"/>
      <c r="AG211" s="2"/>
      <c r="AH211" s="2"/>
      <c r="AI211" s="2"/>
      <c r="AJ211" s="2"/>
      <c r="AK211" s="2"/>
      <c r="AL211" s="2"/>
      <c r="AO211" s="2"/>
      <c r="AP211" s="2"/>
      <c r="AQ211" s="2"/>
      <c r="AR211" s="2"/>
    </row>
    <row r="212" spans="5:44" s="1" customFormat="1" ht="27">
      <c r="E212" s="2"/>
      <c r="H212" s="5"/>
      <c r="I212" s="9"/>
      <c r="J212" s="9"/>
      <c r="K212" s="6"/>
      <c r="L212" s="6"/>
      <c r="P212" s="2"/>
      <c r="T212" s="2"/>
      <c r="U212" s="2"/>
      <c r="V212" s="2"/>
      <c r="W212" s="172"/>
      <c r="X212" s="172"/>
      <c r="Y212" s="2"/>
      <c r="Z212" s="2"/>
      <c r="AE212" s="2"/>
      <c r="AG212" s="2"/>
      <c r="AH212" s="2"/>
      <c r="AI212" s="2"/>
      <c r="AJ212" s="2"/>
      <c r="AK212" s="2"/>
      <c r="AL212" s="2"/>
      <c r="AO212" s="2"/>
      <c r="AP212" s="2"/>
      <c r="AQ212" s="2"/>
      <c r="AR212" s="2"/>
    </row>
    <row r="213" spans="5:44" s="1" customFormat="1" ht="27">
      <c r="E213" s="2"/>
      <c r="H213" s="5"/>
      <c r="I213" s="9"/>
      <c r="J213" s="9"/>
      <c r="K213" s="6"/>
      <c r="L213" s="6"/>
      <c r="P213" s="2"/>
      <c r="T213" s="2"/>
      <c r="U213" s="2"/>
      <c r="V213" s="2"/>
      <c r="W213" s="172"/>
      <c r="X213" s="172"/>
      <c r="Y213" s="2"/>
      <c r="Z213" s="2"/>
      <c r="AE213" s="2"/>
      <c r="AG213" s="2"/>
      <c r="AH213" s="2"/>
      <c r="AI213" s="2"/>
      <c r="AJ213" s="2"/>
      <c r="AK213" s="2"/>
      <c r="AL213" s="2"/>
      <c r="AO213" s="2"/>
      <c r="AP213" s="2"/>
      <c r="AQ213" s="2"/>
      <c r="AR213" s="2"/>
    </row>
    <row r="214" spans="5:44" s="1" customFormat="1" ht="27">
      <c r="E214" s="2"/>
      <c r="H214" s="5"/>
      <c r="I214" s="9"/>
      <c r="J214" s="9"/>
      <c r="K214" s="6"/>
      <c r="L214" s="6"/>
      <c r="P214" s="2"/>
      <c r="T214" s="2"/>
      <c r="U214" s="2"/>
      <c r="V214" s="2"/>
      <c r="W214" s="172"/>
      <c r="X214" s="172"/>
      <c r="Y214" s="2"/>
      <c r="Z214" s="2"/>
      <c r="AE214" s="2"/>
      <c r="AG214" s="2"/>
      <c r="AH214" s="2"/>
      <c r="AI214" s="2"/>
      <c r="AJ214" s="2"/>
      <c r="AK214" s="2"/>
      <c r="AL214" s="2"/>
      <c r="AO214" s="2"/>
      <c r="AP214" s="2"/>
      <c r="AQ214" s="2"/>
      <c r="AR214" s="2"/>
    </row>
    <row r="215" spans="5:44" s="1" customFormat="1" ht="27">
      <c r="E215" s="2"/>
      <c r="H215" s="5"/>
      <c r="I215" s="9"/>
      <c r="J215" s="9"/>
      <c r="K215" s="6"/>
      <c r="L215" s="6"/>
      <c r="P215" s="2"/>
      <c r="T215" s="2"/>
      <c r="U215" s="2"/>
      <c r="V215" s="2"/>
      <c r="W215" s="172"/>
      <c r="X215" s="172"/>
      <c r="Y215" s="2"/>
      <c r="Z215" s="2"/>
      <c r="AE215" s="2"/>
      <c r="AG215" s="2"/>
      <c r="AH215" s="2"/>
      <c r="AI215" s="2"/>
      <c r="AJ215" s="2"/>
      <c r="AK215" s="2"/>
      <c r="AL215" s="2"/>
      <c r="AO215" s="2"/>
      <c r="AP215" s="2"/>
      <c r="AQ215" s="2"/>
      <c r="AR215" s="2"/>
    </row>
    <row r="216" spans="5:44" s="1" customFormat="1" ht="27">
      <c r="E216" s="2"/>
      <c r="H216" s="5"/>
      <c r="I216" s="9"/>
      <c r="J216" s="9"/>
      <c r="K216" s="6"/>
      <c r="L216" s="6"/>
      <c r="P216" s="2"/>
      <c r="T216" s="2"/>
      <c r="U216" s="2"/>
      <c r="V216" s="2"/>
      <c r="W216" s="172"/>
      <c r="X216" s="172"/>
      <c r="Y216" s="2"/>
      <c r="Z216" s="2"/>
      <c r="AE216" s="2"/>
      <c r="AG216" s="2"/>
      <c r="AH216" s="2"/>
      <c r="AI216" s="2"/>
      <c r="AJ216" s="2"/>
      <c r="AK216" s="2"/>
      <c r="AL216" s="2"/>
      <c r="AO216" s="2"/>
      <c r="AP216" s="2"/>
      <c r="AQ216" s="2"/>
      <c r="AR216" s="2"/>
    </row>
    <row r="217" spans="5:44" s="1" customFormat="1" ht="27">
      <c r="E217" s="2"/>
      <c r="H217" s="5"/>
      <c r="I217" s="9"/>
      <c r="J217" s="9"/>
      <c r="K217" s="6"/>
      <c r="L217" s="6"/>
      <c r="P217" s="2"/>
      <c r="T217" s="2"/>
      <c r="U217" s="2"/>
      <c r="V217" s="2"/>
      <c r="W217" s="172"/>
      <c r="X217" s="172"/>
      <c r="Y217" s="2"/>
      <c r="Z217" s="2"/>
      <c r="AE217" s="2"/>
      <c r="AG217" s="2"/>
      <c r="AH217" s="2"/>
      <c r="AI217" s="2"/>
      <c r="AJ217" s="2"/>
      <c r="AK217" s="2"/>
      <c r="AL217" s="2"/>
      <c r="AO217" s="2"/>
      <c r="AP217" s="2"/>
      <c r="AQ217" s="2"/>
      <c r="AR217" s="2"/>
    </row>
    <row r="218" spans="5:44" s="1" customFormat="1" ht="27">
      <c r="E218" s="2"/>
      <c r="H218" s="5"/>
      <c r="I218" s="9"/>
      <c r="J218" s="9"/>
      <c r="K218" s="6"/>
      <c r="L218" s="6"/>
      <c r="P218" s="2"/>
      <c r="T218" s="2"/>
      <c r="U218" s="2"/>
      <c r="V218" s="2"/>
      <c r="W218" s="172"/>
      <c r="X218" s="172"/>
      <c r="Y218" s="2"/>
      <c r="Z218" s="2"/>
      <c r="AE218" s="2"/>
      <c r="AG218" s="2"/>
      <c r="AH218" s="2"/>
      <c r="AI218" s="2"/>
      <c r="AJ218" s="2"/>
      <c r="AK218" s="2"/>
      <c r="AL218" s="2"/>
      <c r="AO218" s="2"/>
      <c r="AP218" s="2"/>
      <c r="AQ218" s="2"/>
      <c r="AR218" s="2"/>
    </row>
    <row r="219" spans="5:44" s="1" customFormat="1" ht="27">
      <c r="E219" s="2"/>
      <c r="H219" s="5"/>
      <c r="I219" s="9"/>
      <c r="J219" s="9"/>
      <c r="K219" s="6"/>
      <c r="L219" s="6"/>
      <c r="P219" s="2"/>
      <c r="T219" s="2"/>
      <c r="U219" s="2"/>
      <c r="V219" s="2"/>
      <c r="W219" s="172"/>
      <c r="X219" s="172"/>
      <c r="Y219" s="2"/>
      <c r="Z219" s="2"/>
      <c r="AE219" s="2"/>
      <c r="AG219" s="2"/>
      <c r="AH219" s="2"/>
      <c r="AI219" s="2"/>
      <c r="AJ219" s="2"/>
      <c r="AK219" s="2"/>
      <c r="AL219" s="2"/>
      <c r="AO219" s="2"/>
      <c r="AP219" s="2"/>
      <c r="AQ219" s="2"/>
      <c r="AR219" s="2"/>
    </row>
    <row r="220" spans="5:44" s="1" customFormat="1" ht="27">
      <c r="E220" s="2"/>
      <c r="H220" s="5"/>
      <c r="I220" s="9"/>
      <c r="J220" s="9"/>
      <c r="K220" s="6"/>
      <c r="L220" s="6"/>
      <c r="P220" s="2"/>
      <c r="T220" s="2"/>
      <c r="U220" s="2"/>
      <c r="V220" s="2"/>
      <c r="W220" s="172"/>
      <c r="X220" s="172"/>
      <c r="Y220" s="2"/>
      <c r="Z220" s="2"/>
      <c r="AE220" s="2"/>
      <c r="AG220" s="2"/>
      <c r="AH220" s="2"/>
      <c r="AI220" s="2"/>
      <c r="AJ220" s="2"/>
      <c r="AK220" s="2"/>
      <c r="AL220" s="2"/>
      <c r="AO220" s="2"/>
      <c r="AP220" s="2"/>
      <c r="AQ220" s="2"/>
      <c r="AR220" s="2"/>
    </row>
    <row r="221" spans="5:44" s="1" customFormat="1" ht="27">
      <c r="E221" s="2"/>
      <c r="H221" s="5"/>
      <c r="I221" s="9"/>
      <c r="J221" s="9"/>
      <c r="K221" s="6"/>
      <c r="L221" s="6"/>
      <c r="P221" s="2"/>
      <c r="T221" s="2"/>
      <c r="U221" s="2"/>
      <c r="V221" s="2"/>
      <c r="W221" s="172"/>
      <c r="X221" s="172"/>
      <c r="Y221" s="2"/>
      <c r="Z221" s="2"/>
      <c r="AE221" s="2"/>
      <c r="AG221" s="2"/>
      <c r="AH221" s="2"/>
      <c r="AI221" s="2"/>
      <c r="AJ221" s="2"/>
      <c r="AK221" s="2"/>
      <c r="AL221" s="2"/>
      <c r="AO221" s="2"/>
      <c r="AP221" s="2"/>
      <c r="AQ221" s="2"/>
      <c r="AR221" s="2"/>
    </row>
    <row r="222" spans="5:44" s="1" customFormat="1" ht="27">
      <c r="E222" s="2"/>
      <c r="H222" s="5"/>
      <c r="I222" s="9"/>
      <c r="J222" s="9"/>
      <c r="K222" s="6"/>
      <c r="L222" s="6"/>
      <c r="P222" s="2"/>
      <c r="T222" s="2"/>
      <c r="U222" s="2"/>
      <c r="V222" s="2"/>
      <c r="W222" s="172"/>
      <c r="X222" s="172"/>
      <c r="Y222" s="2"/>
      <c r="Z222" s="2"/>
      <c r="AE222" s="2"/>
      <c r="AG222" s="2"/>
      <c r="AH222" s="2"/>
      <c r="AI222" s="2"/>
      <c r="AJ222" s="2"/>
      <c r="AK222" s="2"/>
      <c r="AL222" s="2"/>
      <c r="AO222" s="2"/>
      <c r="AP222" s="2"/>
      <c r="AQ222" s="2"/>
      <c r="AR222" s="2"/>
    </row>
    <row r="223" spans="5:44" s="1" customFormat="1" ht="27">
      <c r="E223" s="2"/>
      <c r="H223" s="5"/>
      <c r="I223" s="9"/>
      <c r="J223" s="9"/>
      <c r="K223" s="6"/>
      <c r="L223" s="6"/>
      <c r="P223" s="2"/>
      <c r="T223" s="2"/>
      <c r="U223" s="2"/>
      <c r="V223" s="2"/>
      <c r="W223" s="172"/>
      <c r="X223" s="172"/>
      <c r="Y223" s="2"/>
      <c r="Z223" s="2"/>
      <c r="AE223" s="2"/>
      <c r="AG223" s="2"/>
      <c r="AH223" s="2"/>
      <c r="AI223" s="2"/>
      <c r="AJ223" s="2"/>
      <c r="AK223" s="2"/>
      <c r="AL223" s="2"/>
      <c r="AO223" s="2"/>
      <c r="AP223" s="2"/>
      <c r="AQ223" s="2"/>
      <c r="AR223" s="2"/>
    </row>
    <row r="224" spans="5:44" s="1" customFormat="1" ht="27">
      <c r="E224" s="2"/>
      <c r="H224" s="5"/>
      <c r="I224" s="9"/>
      <c r="J224" s="9"/>
      <c r="K224" s="6"/>
      <c r="L224" s="6"/>
      <c r="P224" s="2"/>
      <c r="T224" s="2"/>
      <c r="U224" s="2"/>
      <c r="V224" s="2"/>
      <c r="W224" s="172"/>
      <c r="X224" s="172"/>
      <c r="Y224" s="2"/>
      <c r="Z224" s="2"/>
      <c r="AE224" s="2"/>
      <c r="AG224" s="2"/>
      <c r="AH224" s="2"/>
      <c r="AI224" s="2"/>
      <c r="AJ224" s="2"/>
      <c r="AK224" s="2"/>
      <c r="AL224" s="2"/>
      <c r="AO224" s="2"/>
      <c r="AP224" s="2"/>
      <c r="AQ224" s="2"/>
      <c r="AR224" s="2"/>
    </row>
    <row r="225" spans="5:44" s="1" customFormat="1" ht="27">
      <c r="E225" s="2"/>
      <c r="H225" s="5"/>
      <c r="I225" s="9"/>
      <c r="J225" s="9"/>
      <c r="K225" s="6"/>
      <c r="L225" s="6"/>
      <c r="P225" s="2"/>
      <c r="T225" s="2"/>
      <c r="U225" s="2"/>
      <c r="V225" s="2"/>
      <c r="W225" s="172"/>
      <c r="X225" s="172"/>
      <c r="Y225" s="2"/>
      <c r="Z225" s="2"/>
      <c r="AE225" s="2"/>
      <c r="AG225" s="2"/>
      <c r="AH225" s="2"/>
      <c r="AI225" s="2"/>
      <c r="AJ225" s="2"/>
      <c r="AK225" s="2"/>
      <c r="AL225" s="2"/>
      <c r="AO225" s="2"/>
      <c r="AP225" s="2"/>
      <c r="AQ225" s="2"/>
      <c r="AR225" s="2"/>
    </row>
    <row r="226" spans="5:44" s="1" customFormat="1" ht="27">
      <c r="E226" s="2"/>
      <c r="H226" s="5"/>
      <c r="I226" s="9"/>
      <c r="J226" s="9"/>
      <c r="K226" s="6"/>
      <c r="L226" s="6"/>
      <c r="P226" s="2"/>
      <c r="T226" s="2"/>
      <c r="U226" s="2"/>
      <c r="V226" s="2"/>
      <c r="W226" s="172"/>
      <c r="X226" s="172"/>
      <c r="Y226" s="2"/>
      <c r="Z226" s="2"/>
      <c r="AE226" s="2"/>
      <c r="AG226" s="2"/>
      <c r="AH226" s="2"/>
      <c r="AI226" s="2"/>
      <c r="AJ226" s="2"/>
      <c r="AK226" s="2"/>
      <c r="AL226" s="2"/>
      <c r="AO226" s="2"/>
      <c r="AP226" s="2"/>
      <c r="AQ226" s="2"/>
      <c r="AR226" s="2"/>
    </row>
    <row r="227" spans="5:44" s="1" customFormat="1" ht="27">
      <c r="E227" s="2"/>
      <c r="H227" s="5"/>
      <c r="I227" s="9"/>
      <c r="J227" s="9"/>
      <c r="K227" s="6"/>
      <c r="L227" s="6"/>
      <c r="P227" s="2"/>
      <c r="T227" s="2"/>
      <c r="U227" s="2"/>
      <c r="V227" s="2"/>
      <c r="W227" s="172"/>
      <c r="X227" s="172"/>
      <c r="Y227" s="2"/>
      <c r="Z227" s="2"/>
      <c r="AE227" s="2"/>
      <c r="AG227" s="2"/>
      <c r="AH227" s="2"/>
      <c r="AI227" s="2"/>
      <c r="AJ227" s="2"/>
      <c r="AK227" s="2"/>
      <c r="AL227" s="2"/>
      <c r="AO227" s="2"/>
      <c r="AP227" s="2"/>
      <c r="AQ227" s="2"/>
      <c r="AR227" s="2"/>
    </row>
    <row r="228" spans="5:44" s="1" customFormat="1" ht="27">
      <c r="E228" s="2"/>
      <c r="H228" s="5"/>
      <c r="I228" s="9"/>
      <c r="J228" s="9"/>
      <c r="K228" s="6"/>
      <c r="L228" s="6"/>
      <c r="P228" s="2"/>
      <c r="T228" s="2"/>
      <c r="U228" s="2"/>
      <c r="V228" s="2"/>
      <c r="W228" s="172"/>
      <c r="X228" s="172"/>
      <c r="Y228" s="2"/>
      <c r="Z228" s="2"/>
      <c r="AE228" s="2"/>
      <c r="AG228" s="2"/>
      <c r="AH228" s="2"/>
      <c r="AI228" s="2"/>
      <c r="AJ228" s="2"/>
      <c r="AK228" s="2"/>
      <c r="AL228" s="2"/>
      <c r="AO228" s="2"/>
      <c r="AP228" s="2"/>
      <c r="AQ228" s="2"/>
      <c r="AR228" s="2"/>
    </row>
    <row r="229" spans="5:44" s="1" customFormat="1" ht="27">
      <c r="E229" s="2"/>
      <c r="H229" s="5"/>
      <c r="I229" s="9"/>
      <c r="J229" s="9"/>
      <c r="K229" s="6"/>
      <c r="L229" s="6"/>
      <c r="P229" s="2"/>
      <c r="T229" s="2"/>
      <c r="U229" s="2"/>
      <c r="V229" s="2"/>
      <c r="W229" s="172"/>
      <c r="X229" s="172"/>
      <c r="Y229" s="2"/>
      <c r="Z229" s="2"/>
      <c r="AE229" s="2"/>
      <c r="AG229" s="2"/>
      <c r="AH229" s="2"/>
      <c r="AI229" s="2"/>
      <c r="AJ229" s="2"/>
      <c r="AK229" s="2"/>
      <c r="AL229" s="2"/>
      <c r="AO229" s="2"/>
      <c r="AP229" s="2"/>
      <c r="AQ229" s="2"/>
      <c r="AR229" s="2"/>
    </row>
    <row r="230" spans="5:44" s="1" customFormat="1" ht="27">
      <c r="E230" s="2"/>
      <c r="H230" s="5"/>
      <c r="I230" s="9"/>
      <c r="J230" s="9"/>
      <c r="K230" s="6"/>
      <c r="L230" s="6"/>
      <c r="P230" s="2"/>
      <c r="T230" s="2"/>
      <c r="U230" s="2"/>
      <c r="V230" s="2"/>
      <c r="W230" s="172"/>
      <c r="X230" s="172"/>
      <c r="Y230" s="2"/>
      <c r="Z230" s="2"/>
      <c r="AE230" s="2"/>
      <c r="AG230" s="2"/>
      <c r="AH230" s="2"/>
      <c r="AI230" s="2"/>
      <c r="AJ230" s="2"/>
      <c r="AK230" s="2"/>
      <c r="AL230" s="2"/>
      <c r="AO230" s="2"/>
      <c r="AP230" s="2"/>
      <c r="AQ230" s="2"/>
      <c r="AR230" s="2"/>
    </row>
    <row r="231" spans="5:44" s="1" customFormat="1" ht="27">
      <c r="E231" s="2"/>
      <c r="H231" s="5"/>
      <c r="I231" s="9"/>
      <c r="J231" s="9"/>
      <c r="K231" s="6"/>
      <c r="L231" s="6"/>
      <c r="P231" s="2"/>
      <c r="T231" s="2"/>
      <c r="U231" s="2"/>
      <c r="V231" s="2"/>
      <c r="W231" s="172"/>
      <c r="X231" s="172"/>
      <c r="Y231" s="2"/>
      <c r="Z231" s="2"/>
      <c r="AE231" s="2"/>
      <c r="AG231" s="2"/>
      <c r="AH231" s="2"/>
      <c r="AI231" s="2"/>
      <c r="AJ231" s="2"/>
      <c r="AK231" s="2"/>
      <c r="AL231" s="2"/>
      <c r="AO231" s="2"/>
      <c r="AP231" s="2"/>
      <c r="AQ231" s="2"/>
      <c r="AR231" s="2"/>
    </row>
    <row r="232" spans="5:44" s="1" customFormat="1" ht="27">
      <c r="E232" s="2"/>
      <c r="H232" s="5"/>
      <c r="I232" s="9"/>
      <c r="J232" s="9"/>
      <c r="K232" s="6"/>
      <c r="L232" s="6"/>
      <c r="P232" s="2"/>
      <c r="T232" s="2"/>
      <c r="U232" s="2"/>
      <c r="V232" s="2"/>
      <c r="W232" s="172"/>
      <c r="X232" s="172"/>
      <c r="Y232" s="2"/>
      <c r="Z232" s="2"/>
      <c r="AE232" s="2"/>
      <c r="AG232" s="2"/>
      <c r="AH232" s="2"/>
      <c r="AI232" s="2"/>
      <c r="AJ232" s="2"/>
      <c r="AK232" s="2"/>
      <c r="AL232" s="2"/>
      <c r="AO232" s="2"/>
      <c r="AP232" s="2"/>
      <c r="AQ232" s="2"/>
      <c r="AR232" s="2"/>
    </row>
    <row r="233" spans="5:44" s="1" customFormat="1" ht="27">
      <c r="E233" s="2"/>
      <c r="H233" s="5"/>
      <c r="I233" s="9"/>
      <c r="J233" s="9"/>
      <c r="K233" s="6"/>
      <c r="L233" s="6"/>
      <c r="P233" s="2"/>
      <c r="T233" s="2"/>
      <c r="U233" s="2"/>
      <c r="V233" s="2"/>
      <c r="W233" s="172"/>
      <c r="X233" s="172"/>
      <c r="Y233" s="2"/>
      <c r="Z233" s="2"/>
      <c r="AE233" s="2"/>
      <c r="AG233" s="2"/>
      <c r="AH233" s="2"/>
      <c r="AI233" s="2"/>
      <c r="AJ233" s="2"/>
      <c r="AK233" s="2"/>
      <c r="AL233" s="2"/>
      <c r="AO233" s="2"/>
      <c r="AP233" s="2"/>
      <c r="AQ233" s="2"/>
      <c r="AR233" s="2"/>
    </row>
    <row r="234" spans="5:44" s="1" customFormat="1" ht="27">
      <c r="E234" s="2"/>
      <c r="H234" s="5"/>
      <c r="I234" s="9"/>
      <c r="J234" s="9"/>
      <c r="K234" s="6"/>
      <c r="L234" s="6"/>
      <c r="P234" s="2"/>
      <c r="T234" s="2"/>
      <c r="U234" s="2"/>
      <c r="V234" s="2"/>
      <c r="W234" s="172"/>
      <c r="X234" s="172"/>
      <c r="Y234" s="2"/>
      <c r="Z234" s="2"/>
      <c r="AE234" s="2"/>
      <c r="AG234" s="2"/>
      <c r="AH234" s="2"/>
      <c r="AI234" s="2"/>
      <c r="AJ234" s="2"/>
      <c r="AK234" s="2"/>
      <c r="AL234" s="2"/>
      <c r="AO234" s="2"/>
      <c r="AP234" s="2"/>
      <c r="AQ234" s="2"/>
      <c r="AR234" s="2"/>
    </row>
    <row r="235" spans="5:44" s="1" customFormat="1" ht="27">
      <c r="E235" s="2"/>
      <c r="H235" s="5"/>
      <c r="I235" s="9"/>
      <c r="J235" s="9"/>
      <c r="K235" s="6"/>
      <c r="L235" s="6"/>
      <c r="P235" s="2"/>
      <c r="T235" s="2"/>
      <c r="U235" s="2"/>
      <c r="V235" s="2"/>
      <c r="W235" s="172"/>
      <c r="X235" s="172"/>
      <c r="Y235" s="2"/>
      <c r="Z235" s="2"/>
      <c r="AE235" s="2"/>
      <c r="AG235" s="2"/>
      <c r="AH235" s="2"/>
      <c r="AI235" s="2"/>
      <c r="AJ235" s="2"/>
      <c r="AK235" s="2"/>
      <c r="AL235" s="2"/>
      <c r="AO235" s="2"/>
      <c r="AP235" s="2"/>
      <c r="AQ235" s="2"/>
      <c r="AR235" s="2"/>
    </row>
    <row r="236" spans="5:44" s="1" customFormat="1" ht="27">
      <c r="E236" s="2"/>
      <c r="H236" s="5"/>
      <c r="I236" s="9"/>
      <c r="J236" s="9"/>
      <c r="K236" s="6"/>
      <c r="L236" s="6"/>
      <c r="P236" s="2"/>
      <c r="T236" s="2"/>
      <c r="U236" s="2"/>
      <c r="V236" s="2"/>
      <c r="W236" s="172"/>
      <c r="X236" s="172"/>
      <c r="Y236" s="2"/>
      <c r="Z236" s="2"/>
      <c r="AE236" s="2"/>
      <c r="AG236" s="2"/>
      <c r="AH236" s="2"/>
      <c r="AI236" s="2"/>
      <c r="AJ236" s="2"/>
      <c r="AK236" s="2"/>
      <c r="AL236" s="2"/>
      <c r="AO236" s="2"/>
      <c r="AP236" s="2"/>
      <c r="AQ236" s="2"/>
      <c r="AR236" s="2"/>
    </row>
    <row r="237" spans="5:44" s="1" customFormat="1" ht="27">
      <c r="E237" s="2"/>
      <c r="H237" s="5"/>
      <c r="I237" s="9"/>
      <c r="J237" s="9"/>
      <c r="K237" s="6"/>
      <c r="L237" s="6"/>
      <c r="P237" s="2"/>
      <c r="T237" s="2"/>
      <c r="U237" s="2"/>
      <c r="V237" s="2"/>
      <c r="W237" s="172"/>
      <c r="X237" s="172"/>
      <c r="Y237" s="2"/>
      <c r="Z237" s="2"/>
      <c r="AE237" s="2"/>
      <c r="AG237" s="2"/>
      <c r="AH237" s="2"/>
      <c r="AI237" s="2"/>
      <c r="AJ237" s="2"/>
      <c r="AK237" s="2"/>
      <c r="AL237" s="2"/>
      <c r="AO237" s="2"/>
      <c r="AP237" s="2"/>
      <c r="AQ237" s="2"/>
      <c r="AR237" s="2"/>
    </row>
    <row r="238" spans="5:44" s="1" customFormat="1" ht="27">
      <c r="E238" s="2"/>
      <c r="H238" s="5"/>
      <c r="I238" s="9"/>
      <c r="J238" s="9"/>
      <c r="K238" s="6"/>
      <c r="L238" s="6"/>
      <c r="P238" s="2"/>
      <c r="T238" s="2"/>
      <c r="U238" s="2"/>
      <c r="V238" s="2"/>
      <c r="W238" s="172"/>
      <c r="X238" s="172"/>
      <c r="Y238" s="2"/>
      <c r="Z238" s="2"/>
      <c r="AE238" s="2"/>
      <c r="AG238" s="2"/>
      <c r="AH238" s="2"/>
      <c r="AI238" s="2"/>
      <c r="AJ238" s="2"/>
      <c r="AK238" s="2"/>
      <c r="AL238" s="2"/>
      <c r="AO238" s="2"/>
      <c r="AP238" s="2"/>
      <c r="AQ238" s="2"/>
      <c r="AR238" s="2"/>
    </row>
    <row r="239" spans="5:44" s="1" customFormat="1" ht="27">
      <c r="E239" s="2"/>
      <c r="H239" s="5"/>
      <c r="I239" s="9"/>
      <c r="J239" s="9"/>
      <c r="K239" s="6"/>
      <c r="L239" s="6"/>
      <c r="P239" s="2"/>
      <c r="T239" s="2"/>
      <c r="U239" s="2"/>
      <c r="V239" s="2"/>
      <c r="W239" s="172"/>
      <c r="X239" s="172"/>
      <c r="Y239" s="2"/>
      <c r="Z239" s="2"/>
      <c r="AE239" s="2"/>
      <c r="AG239" s="2"/>
      <c r="AH239" s="2"/>
      <c r="AI239" s="2"/>
      <c r="AJ239" s="2"/>
      <c r="AK239" s="2"/>
      <c r="AL239" s="2"/>
      <c r="AO239" s="2"/>
      <c r="AP239" s="2"/>
      <c r="AQ239" s="2"/>
      <c r="AR239" s="2"/>
    </row>
    <row r="240" spans="5:44" s="1" customFormat="1" ht="27">
      <c r="E240" s="2"/>
      <c r="H240" s="5"/>
      <c r="I240" s="9"/>
      <c r="J240" s="9"/>
      <c r="K240" s="6"/>
      <c r="L240" s="6"/>
      <c r="P240" s="2"/>
      <c r="T240" s="2"/>
      <c r="U240" s="2"/>
      <c r="V240" s="2"/>
      <c r="W240" s="172"/>
      <c r="X240" s="172"/>
      <c r="Y240" s="2"/>
      <c r="Z240" s="2"/>
      <c r="AE240" s="2"/>
      <c r="AG240" s="2"/>
      <c r="AH240" s="2"/>
      <c r="AI240" s="2"/>
      <c r="AJ240" s="2"/>
      <c r="AK240" s="2"/>
      <c r="AL240" s="2"/>
      <c r="AO240" s="2"/>
      <c r="AP240" s="2"/>
      <c r="AQ240" s="2"/>
      <c r="AR240" s="2"/>
    </row>
    <row r="241" spans="5:44" s="1" customFormat="1" ht="27">
      <c r="E241" s="2"/>
      <c r="H241" s="5"/>
      <c r="I241" s="9"/>
      <c r="J241" s="9"/>
      <c r="K241" s="6"/>
      <c r="L241" s="6"/>
      <c r="P241" s="2"/>
      <c r="T241" s="2"/>
      <c r="U241" s="2"/>
      <c r="V241" s="2"/>
      <c r="W241" s="172"/>
      <c r="X241" s="172"/>
      <c r="Y241" s="2"/>
      <c r="Z241" s="2"/>
      <c r="AE241" s="2"/>
      <c r="AG241" s="2"/>
      <c r="AH241" s="2"/>
      <c r="AI241" s="2"/>
      <c r="AJ241" s="2"/>
      <c r="AK241" s="2"/>
      <c r="AL241" s="2"/>
      <c r="AO241" s="2"/>
      <c r="AP241" s="2"/>
      <c r="AQ241" s="2"/>
      <c r="AR241" s="2"/>
    </row>
    <row r="242" spans="5:44" s="1" customFormat="1" ht="27">
      <c r="E242" s="2"/>
      <c r="H242" s="5"/>
      <c r="I242" s="9"/>
      <c r="J242" s="9"/>
      <c r="K242" s="6"/>
      <c r="L242" s="6"/>
      <c r="P242" s="2"/>
      <c r="T242" s="2"/>
      <c r="U242" s="2"/>
      <c r="V242" s="2"/>
      <c r="W242" s="172"/>
      <c r="X242" s="172"/>
      <c r="Y242" s="2"/>
      <c r="Z242" s="2"/>
      <c r="AE242" s="2"/>
      <c r="AG242" s="2"/>
      <c r="AH242" s="2"/>
      <c r="AI242" s="2"/>
      <c r="AJ242" s="2"/>
      <c r="AK242" s="2"/>
      <c r="AL242" s="2"/>
      <c r="AO242" s="2"/>
      <c r="AP242" s="2"/>
      <c r="AQ242" s="2"/>
      <c r="AR242" s="2"/>
    </row>
    <row r="243" spans="5:44" s="1" customFormat="1" ht="27">
      <c r="E243" s="2"/>
      <c r="H243" s="5"/>
      <c r="I243" s="9"/>
      <c r="J243" s="9"/>
      <c r="K243" s="6"/>
      <c r="L243" s="6"/>
      <c r="P243" s="2"/>
      <c r="T243" s="2"/>
      <c r="U243" s="2"/>
      <c r="V243" s="2"/>
      <c r="W243" s="172"/>
      <c r="X243" s="172"/>
      <c r="Y243" s="2"/>
      <c r="Z243" s="2"/>
      <c r="AE243" s="2"/>
      <c r="AG243" s="2"/>
      <c r="AH243" s="2"/>
      <c r="AI243" s="2"/>
      <c r="AJ243" s="2"/>
      <c r="AK243" s="2"/>
      <c r="AL243" s="2"/>
      <c r="AO243" s="2"/>
      <c r="AP243" s="2"/>
      <c r="AQ243" s="2"/>
      <c r="AR243" s="2"/>
    </row>
    <row r="244" spans="5:44" s="1" customFormat="1" ht="27">
      <c r="E244" s="2"/>
      <c r="H244" s="5"/>
      <c r="I244" s="9"/>
      <c r="J244" s="9"/>
      <c r="K244" s="6"/>
      <c r="L244" s="6"/>
      <c r="P244" s="2"/>
      <c r="T244" s="2"/>
      <c r="U244" s="2"/>
      <c r="V244" s="2"/>
      <c r="W244" s="172"/>
      <c r="X244" s="172"/>
      <c r="Y244" s="2"/>
      <c r="Z244" s="2"/>
      <c r="AE244" s="2"/>
      <c r="AG244" s="2"/>
      <c r="AH244" s="2"/>
      <c r="AI244" s="2"/>
      <c r="AJ244" s="2"/>
      <c r="AK244" s="2"/>
      <c r="AL244" s="2"/>
      <c r="AO244" s="2"/>
      <c r="AP244" s="2"/>
      <c r="AQ244" s="2"/>
      <c r="AR244" s="2"/>
    </row>
    <row r="245" spans="5:44" s="1" customFormat="1" ht="27">
      <c r="E245" s="2"/>
      <c r="H245" s="5"/>
      <c r="I245" s="9"/>
      <c r="J245" s="9"/>
      <c r="K245" s="6"/>
      <c r="L245" s="6"/>
      <c r="P245" s="2"/>
      <c r="T245" s="2"/>
      <c r="U245" s="2"/>
      <c r="V245" s="2"/>
      <c r="W245" s="172"/>
      <c r="X245" s="172"/>
      <c r="Y245" s="2"/>
      <c r="Z245" s="2"/>
      <c r="AE245" s="2"/>
      <c r="AG245" s="2"/>
      <c r="AH245" s="2"/>
      <c r="AI245" s="2"/>
      <c r="AJ245" s="2"/>
      <c r="AK245" s="2"/>
      <c r="AL245" s="2"/>
      <c r="AO245" s="2"/>
      <c r="AP245" s="2"/>
      <c r="AQ245" s="2"/>
      <c r="AR245" s="2"/>
    </row>
    <row r="246" spans="5:44" s="1" customFormat="1" ht="27">
      <c r="E246" s="2"/>
      <c r="H246" s="5"/>
      <c r="I246" s="9"/>
      <c r="J246" s="9"/>
      <c r="K246" s="6"/>
      <c r="L246" s="6"/>
      <c r="P246" s="2"/>
      <c r="T246" s="2"/>
      <c r="U246" s="2"/>
      <c r="V246" s="2"/>
      <c r="W246" s="172"/>
      <c r="X246" s="172"/>
      <c r="Y246" s="2"/>
      <c r="Z246" s="2"/>
      <c r="AE246" s="2"/>
      <c r="AG246" s="2"/>
      <c r="AH246" s="2"/>
      <c r="AI246" s="2"/>
      <c r="AJ246" s="2"/>
      <c r="AK246" s="2"/>
      <c r="AL246" s="2"/>
      <c r="AO246" s="2"/>
      <c r="AP246" s="2"/>
      <c r="AQ246" s="2"/>
      <c r="AR246" s="2"/>
    </row>
    <row r="247" spans="5:44" s="1" customFormat="1" ht="27">
      <c r="E247" s="2"/>
      <c r="H247" s="5"/>
      <c r="I247" s="9"/>
      <c r="J247" s="9"/>
      <c r="K247" s="6"/>
      <c r="L247" s="6"/>
      <c r="P247" s="2"/>
      <c r="T247" s="2"/>
      <c r="U247" s="2"/>
      <c r="V247" s="2"/>
      <c r="W247" s="172"/>
      <c r="X247" s="172"/>
      <c r="Y247" s="2"/>
      <c r="Z247" s="2"/>
      <c r="AE247" s="2"/>
      <c r="AG247" s="2"/>
      <c r="AH247" s="2"/>
      <c r="AI247" s="2"/>
      <c r="AJ247" s="2"/>
      <c r="AK247" s="2"/>
      <c r="AL247" s="2"/>
      <c r="AO247" s="2"/>
      <c r="AP247" s="2"/>
      <c r="AQ247" s="2"/>
      <c r="AR247" s="2"/>
    </row>
    <row r="248" spans="5:44" s="1" customFormat="1" ht="27">
      <c r="E248" s="2"/>
      <c r="H248" s="5"/>
      <c r="I248" s="9"/>
      <c r="J248" s="9"/>
      <c r="K248" s="6"/>
      <c r="L248" s="6"/>
      <c r="P248" s="2"/>
      <c r="T248" s="2"/>
      <c r="U248" s="2"/>
      <c r="V248" s="2"/>
      <c r="W248" s="172"/>
      <c r="X248" s="172"/>
      <c r="Y248" s="2"/>
      <c r="Z248" s="2"/>
      <c r="AE248" s="2"/>
      <c r="AG248" s="2"/>
      <c r="AH248" s="2"/>
      <c r="AI248" s="2"/>
      <c r="AJ248" s="2"/>
      <c r="AK248" s="2"/>
      <c r="AL248" s="2"/>
      <c r="AO248" s="2"/>
      <c r="AP248" s="2"/>
      <c r="AQ248" s="2"/>
      <c r="AR248" s="2"/>
    </row>
    <row r="249" spans="5:44" s="1" customFormat="1" ht="27">
      <c r="E249" s="2"/>
      <c r="H249" s="5"/>
      <c r="I249" s="9"/>
      <c r="J249" s="9"/>
      <c r="K249" s="6"/>
      <c r="L249" s="6"/>
      <c r="P249" s="2"/>
      <c r="T249" s="2"/>
      <c r="U249" s="2"/>
      <c r="V249" s="2"/>
      <c r="W249" s="172"/>
      <c r="X249" s="172"/>
      <c r="Y249" s="2"/>
      <c r="Z249" s="2"/>
      <c r="AE249" s="2"/>
      <c r="AG249" s="2"/>
      <c r="AH249" s="2"/>
      <c r="AI249" s="2"/>
      <c r="AJ249" s="2"/>
      <c r="AK249" s="2"/>
      <c r="AL249" s="2"/>
      <c r="AO249" s="2"/>
      <c r="AP249" s="2"/>
      <c r="AQ249" s="2"/>
      <c r="AR249" s="2"/>
    </row>
    <row r="250" spans="5:44" s="1" customFormat="1" ht="27">
      <c r="E250" s="2"/>
      <c r="H250" s="5"/>
      <c r="I250" s="9"/>
      <c r="J250" s="9"/>
      <c r="K250" s="6"/>
      <c r="L250" s="6"/>
      <c r="P250" s="2"/>
      <c r="T250" s="2"/>
      <c r="U250" s="2"/>
      <c r="V250" s="2"/>
      <c r="W250" s="172"/>
      <c r="X250" s="172"/>
      <c r="Y250" s="2"/>
      <c r="Z250" s="2"/>
      <c r="AE250" s="2"/>
      <c r="AG250" s="2"/>
      <c r="AH250" s="2"/>
      <c r="AI250" s="2"/>
      <c r="AJ250" s="2"/>
      <c r="AK250" s="2"/>
      <c r="AL250" s="2"/>
      <c r="AO250" s="2"/>
      <c r="AP250" s="2"/>
      <c r="AQ250" s="2"/>
      <c r="AR250" s="2"/>
    </row>
    <row r="251" spans="5:44" s="1" customFormat="1" ht="27">
      <c r="E251" s="2"/>
      <c r="H251" s="5"/>
      <c r="I251" s="9"/>
      <c r="J251" s="9"/>
      <c r="K251" s="6"/>
      <c r="L251" s="6"/>
      <c r="P251" s="2"/>
      <c r="T251" s="2"/>
      <c r="U251" s="2"/>
      <c r="V251" s="2"/>
      <c r="W251" s="172"/>
      <c r="X251" s="172"/>
      <c r="Y251" s="2"/>
      <c r="Z251" s="2"/>
      <c r="AE251" s="2"/>
      <c r="AG251" s="2"/>
      <c r="AH251" s="2"/>
      <c r="AI251" s="2"/>
      <c r="AJ251" s="2"/>
      <c r="AK251" s="2"/>
      <c r="AL251" s="2"/>
      <c r="AO251" s="2"/>
      <c r="AP251" s="2"/>
      <c r="AQ251" s="2"/>
      <c r="AR251" s="2"/>
    </row>
    <row r="252" spans="5:44" s="1" customFormat="1" ht="27">
      <c r="E252" s="2"/>
      <c r="H252" s="5"/>
      <c r="I252" s="9"/>
      <c r="J252" s="9"/>
      <c r="K252" s="6"/>
      <c r="L252" s="6"/>
      <c r="P252" s="2"/>
      <c r="T252" s="2"/>
      <c r="U252" s="2"/>
      <c r="V252" s="2"/>
      <c r="W252" s="172"/>
      <c r="X252" s="172"/>
      <c r="Y252" s="2"/>
      <c r="Z252" s="2"/>
      <c r="AE252" s="2"/>
      <c r="AG252" s="2"/>
      <c r="AH252" s="2"/>
      <c r="AI252" s="2"/>
      <c r="AJ252" s="2"/>
      <c r="AK252" s="2"/>
      <c r="AL252" s="2"/>
      <c r="AO252" s="2"/>
      <c r="AP252" s="2"/>
      <c r="AQ252" s="2"/>
      <c r="AR252" s="2"/>
    </row>
    <row r="253" spans="5:44" s="1" customFormat="1" ht="27">
      <c r="E253" s="2"/>
      <c r="H253" s="5"/>
      <c r="I253" s="9"/>
      <c r="J253" s="9"/>
      <c r="K253" s="6"/>
      <c r="L253" s="6"/>
      <c r="P253" s="2"/>
      <c r="T253" s="2"/>
      <c r="U253" s="2"/>
      <c r="V253" s="2"/>
      <c r="W253" s="172"/>
      <c r="X253" s="172"/>
      <c r="Y253" s="2"/>
      <c r="Z253" s="2"/>
      <c r="AE253" s="2"/>
      <c r="AG253" s="2"/>
      <c r="AH253" s="2"/>
      <c r="AI253" s="2"/>
      <c r="AJ253" s="2"/>
      <c r="AK253" s="2"/>
      <c r="AL253" s="2"/>
      <c r="AO253" s="2"/>
      <c r="AP253" s="2"/>
      <c r="AQ253" s="2"/>
      <c r="AR253" s="2"/>
    </row>
    <row r="254" spans="5:44" s="1" customFormat="1" ht="27">
      <c r="E254" s="2"/>
      <c r="H254" s="5"/>
      <c r="I254" s="9"/>
      <c r="J254" s="9"/>
      <c r="K254" s="6"/>
      <c r="L254" s="6"/>
      <c r="P254" s="2"/>
      <c r="T254" s="2"/>
      <c r="U254" s="2"/>
      <c r="V254" s="2"/>
      <c r="W254" s="172"/>
      <c r="X254" s="172"/>
      <c r="Y254" s="2"/>
      <c r="Z254" s="2"/>
      <c r="AE254" s="2"/>
      <c r="AG254" s="2"/>
      <c r="AH254" s="2"/>
      <c r="AI254" s="2"/>
      <c r="AJ254" s="2"/>
      <c r="AK254" s="2"/>
      <c r="AL254" s="2"/>
      <c r="AO254" s="2"/>
      <c r="AP254" s="2"/>
      <c r="AQ254" s="2"/>
      <c r="AR254" s="2"/>
    </row>
    <row r="255" spans="5:44" s="1" customFormat="1" ht="27">
      <c r="E255" s="2"/>
      <c r="H255" s="5"/>
      <c r="I255" s="9"/>
      <c r="J255" s="9"/>
      <c r="K255" s="6"/>
      <c r="L255" s="6"/>
      <c r="P255" s="2"/>
      <c r="T255" s="2"/>
      <c r="U255" s="2"/>
      <c r="V255" s="2"/>
      <c r="W255" s="172"/>
      <c r="X255" s="172"/>
      <c r="Y255" s="2"/>
      <c r="Z255" s="2"/>
      <c r="AE255" s="2"/>
      <c r="AG255" s="2"/>
      <c r="AH255" s="2"/>
      <c r="AI255" s="2"/>
      <c r="AJ255" s="2"/>
      <c r="AK255" s="2"/>
      <c r="AL255" s="2"/>
      <c r="AO255" s="2"/>
      <c r="AP255" s="2"/>
      <c r="AQ255" s="2"/>
      <c r="AR255" s="2"/>
    </row>
    <row r="256" spans="5:44" s="1" customFormat="1" ht="27">
      <c r="E256" s="2"/>
      <c r="H256" s="5"/>
      <c r="I256" s="9"/>
      <c r="J256" s="9"/>
      <c r="K256" s="6"/>
      <c r="L256" s="6"/>
      <c r="P256" s="2"/>
      <c r="T256" s="2"/>
      <c r="U256" s="2"/>
      <c r="V256" s="2"/>
      <c r="W256" s="172"/>
      <c r="X256" s="172"/>
      <c r="Y256" s="2"/>
      <c r="Z256" s="2"/>
      <c r="AE256" s="2"/>
      <c r="AG256" s="2"/>
      <c r="AH256" s="2"/>
      <c r="AI256" s="2"/>
      <c r="AJ256" s="2"/>
      <c r="AK256" s="2"/>
      <c r="AL256" s="2"/>
      <c r="AO256" s="2"/>
      <c r="AP256" s="2"/>
      <c r="AQ256" s="2"/>
      <c r="AR256" s="2"/>
    </row>
    <row r="257" spans="5:44" s="1" customFormat="1" ht="27">
      <c r="E257" s="2"/>
      <c r="H257" s="5"/>
      <c r="I257" s="9"/>
      <c r="J257" s="9"/>
      <c r="K257" s="6"/>
      <c r="L257" s="6"/>
      <c r="P257" s="2"/>
      <c r="T257" s="2"/>
      <c r="U257" s="2"/>
      <c r="V257" s="2"/>
      <c r="W257" s="172"/>
      <c r="X257" s="172"/>
      <c r="Y257" s="2"/>
      <c r="Z257" s="2"/>
      <c r="AE257" s="2"/>
      <c r="AG257" s="2"/>
      <c r="AH257" s="2"/>
      <c r="AI257" s="2"/>
      <c r="AJ257" s="2"/>
      <c r="AK257" s="2"/>
      <c r="AL257" s="2"/>
      <c r="AO257" s="2"/>
      <c r="AP257" s="2"/>
      <c r="AQ257" s="2"/>
      <c r="AR257" s="2"/>
    </row>
    <row r="258" spans="5:44" s="1" customFormat="1" ht="27">
      <c r="E258" s="2"/>
      <c r="H258" s="5"/>
      <c r="I258" s="9"/>
      <c r="J258" s="9"/>
      <c r="K258" s="6"/>
      <c r="L258" s="6"/>
      <c r="P258" s="2"/>
      <c r="T258" s="2"/>
      <c r="U258" s="2"/>
      <c r="V258" s="2"/>
      <c r="W258" s="172"/>
      <c r="X258" s="172"/>
      <c r="Y258" s="2"/>
      <c r="Z258" s="2"/>
      <c r="AE258" s="2"/>
      <c r="AG258" s="2"/>
      <c r="AH258" s="2"/>
      <c r="AI258" s="2"/>
      <c r="AJ258" s="2"/>
      <c r="AK258" s="2"/>
      <c r="AL258" s="2"/>
      <c r="AO258" s="2"/>
      <c r="AP258" s="2"/>
      <c r="AQ258" s="2"/>
      <c r="AR258" s="2"/>
    </row>
    <row r="259" spans="5:44" s="1" customFormat="1" ht="27">
      <c r="E259" s="2"/>
      <c r="H259" s="5"/>
      <c r="I259" s="9"/>
      <c r="J259" s="9"/>
      <c r="K259" s="6"/>
      <c r="L259" s="6"/>
      <c r="P259" s="2"/>
      <c r="T259" s="2"/>
      <c r="U259" s="2"/>
      <c r="V259" s="2"/>
      <c r="W259" s="172"/>
      <c r="X259" s="172"/>
      <c r="Y259" s="2"/>
      <c r="Z259" s="2"/>
      <c r="AE259" s="2"/>
      <c r="AG259" s="2"/>
      <c r="AH259" s="2"/>
      <c r="AI259" s="2"/>
      <c r="AJ259" s="2"/>
      <c r="AK259" s="2"/>
      <c r="AL259" s="2"/>
      <c r="AO259" s="2"/>
      <c r="AP259" s="2"/>
      <c r="AQ259" s="2"/>
      <c r="AR259" s="2"/>
    </row>
    <row r="260" spans="5:44" s="1" customFormat="1" ht="27">
      <c r="E260" s="2"/>
      <c r="H260" s="5"/>
      <c r="I260" s="9"/>
      <c r="J260" s="9"/>
      <c r="K260" s="6"/>
      <c r="L260" s="6"/>
      <c r="P260" s="2"/>
      <c r="T260" s="2"/>
      <c r="U260" s="2"/>
      <c r="V260" s="2"/>
      <c r="W260" s="172"/>
      <c r="X260" s="172"/>
      <c r="Y260" s="2"/>
      <c r="Z260" s="2"/>
      <c r="AE260" s="2"/>
      <c r="AG260" s="2"/>
      <c r="AH260" s="2"/>
      <c r="AI260" s="2"/>
      <c r="AJ260" s="2"/>
      <c r="AK260" s="2"/>
      <c r="AL260" s="2"/>
      <c r="AO260" s="2"/>
      <c r="AP260" s="2"/>
      <c r="AQ260" s="2"/>
      <c r="AR260" s="2"/>
    </row>
    <row r="261" spans="5:44" s="1" customFormat="1" ht="27">
      <c r="E261" s="2"/>
      <c r="H261" s="5"/>
      <c r="I261" s="9"/>
      <c r="J261" s="9"/>
      <c r="K261" s="6"/>
      <c r="L261" s="6"/>
      <c r="P261" s="2"/>
      <c r="T261" s="2"/>
      <c r="U261" s="2"/>
      <c r="V261" s="2"/>
      <c r="W261" s="172"/>
      <c r="X261" s="172"/>
      <c r="Y261" s="2"/>
      <c r="Z261" s="2"/>
      <c r="AE261" s="2"/>
      <c r="AG261" s="2"/>
      <c r="AH261" s="2"/>
      <c r="AI261" s="2"/>
      <c r="AJ261" s="2"/>
      <c r="AK261" s="2"/>
      <c r="AL261" s="2"/>
      <c r="AO261" s="2"/>
      <c r="AP261" s="2"/>
      <c r="AQ261" s="2"/>
      <c r="AR261" s="2"/>
    </row>
    <row r="262" spans="5:44" s="1" customFormat="1" ht="27">
      <c r="E262" s="2"/>
      <c r="H262" s="5"/>
      <c r="I262" s="9"/>
      <c r="J262" s="9"/>
      <c r="K262" s="6"/>
      <c r="L262" s="6"/>
      <c r="P262" s="2"/>
      <c r="T262" s="2"/>
      <c r="U262" s="2"/>
      <c r="V262" s="2"/>
      <c r="W262" s="172"/>
      <c r="X262" s="172"/>
      <c r="Y262" s="2"/>
      <c r="Z262" s="2"/>
      <c r="AE262" s="2"/>
      <c r="AG262" s="2"/>
      <c r="AH262" s="2"/>
      <c r="AI262" s="2"/>
      <c r="AJ262" s="2"/>
      <c r="AK262" s="2"/>
      <c r="AL262" s="2"/>
      <c r="AO262" s="2"/>
      <c r="AP262" s="2"/>
      <c r="AQ262" s="2"/>
      <c r="AR262" s="2"/>
    </row>
    <row r="263" spans="5:44" s="1" customFormat="1" ht="27">
      <c r="E263" s="2"/>
      <c r="H263" s="5"/>
      <c r="I263" s="9"/>
      <c r="J263" s="9"/>
      <c r="K263" s="6"/>
      <c r="L263" s="6"/>
      <c r="P263" s="2"/>
      <c r="T263" s="2"/>
      <c r="U263" s="2"/>
      <c r="V263" s="2"/>
      <c r="W263" s="172"/>
      <c r="X263" s="172"/>
      <c r="Y263" s="2"/>
      <c r="Z263" s="2"/>
      <c r="AE263" s="2"/>
      <c r="AG263" s="2"/>
      <c r="AH263" s="2"/>
      <c r="AI263" s="2"/>
      <c r="AJ263" s="2"/>
      <c r="AK263" s="2"/>
      <c r="AL263" s="2"/>
      <c r="AO263" s="2"/>
      <c r="AP263" s="2"/>
      <c r="AQ263" s="2"/>
      <c r="AR263" s="2"/>
    </row>
    <row r="264" spans="5:44" s="1" customFormat="1" ht="27">
      <c r="E264" s="2"/>
      <c r="H264" s="5"/>
      <c r="I264" s="9"/>
      <c r="J264" s="9"/>
      <c r="K264" s="6"/>
      <c r="L264" s="6"/>
      <c r="P264" s="2"/>
      <c r="T264" s="2"/>
      <c r="U264" s="2"/>
      <c r="V264" s="2"/>
      <c r="W264" s="172"/>
      <c r="X264" s="172"/>
      <c r="Y264" s="2"/>
      <c r="Z264" s="2"/>
      <c r="AE264" s="2"/>
      <c r="AG264" s="2"/>
      <c r="AH264" s="2"/>
      <c r="AI264" s="2"/>
      <c r="AJ264" s="2"/>
      <c r="AK264" s="2"/>
      <c r="AL264" s="2"/>
      <c r="AO264" s="2"/>
      <c r="AP264" s="2"/>
      <c r="AQ264" s="2"/>
      <c r="AR264" s="2"/>
    </row>
    <row r="265" spans="5:44" s="1" customFormat="1" ht="27">
      <c r="E265" s="2"/>
      <c r="H265" s="5"/>
      <c r="I265" s="9"/>
      <c r="J265" s="9"/>
      <c r="K265" s="6"/>
      <c r="L265" s="6"/>
      <c r="P265" s="2"/>
      <c r="T265" s="2"/>
      <c r="U265" s="2"/>
      <c r="V265" s="2"/>
      <c r="W265" s="172"/>
      <c r="X265" s="172"/>
      <c r="Y265" s="2"/>
      <c r="Z265" s="2"/>
      <c r="AE265" s="2"/>
      <c r="AG265" s="2"/>
      <c r="AH265" s="2"/>
      <c r="AI265" s="2"/>
      <c r="AJ265" s="2"/>
      <c r="AK265" s="2"/>
      <c r="AL265" s="2"/>
      <c r="AO265" s="2"/>
      <c r="AP265" s="2"/>
      <c r="AQ265" s="2"/>
      <c r="AR265" s="2"/>
    </row>
    <row r="266" spans="5:44" s="1" customFormat="1" ht="27">
      <c r="E266" s="2"/>
      <c r="H266" s="5"/>
      <c r="I266" s="9"/>
      <c r="J266" s="9"/>
      <c r="K266" s="6"/>
      <c r="L266" s="6"/>
      <c r="P266" s="2"/>
      <c r="T266" s="2"/>
      <c r="U266" s="2"/>
      <c r="V266" s="2"/>
      <c r="W266" s="172"/>
      <c r="X266" s="172"/>
      <c r="Y266" s="2"/>
      <c r="Z266" s="2"/>
      <c r="AE266" s="2"/>
      <c r="AG266" s="2"/>
      <c r="AH266" s="2"/>
      <c r="AI266" s="2"/>
      <c r="AJ266" s="2"/>
      <c r="AK266" s="2"/>
      <c r="AL266" s="2"/>
      <c r="AO266" s="2"/>
      <c r="AP266" s="2"/>
      <c r="AQ266" s="2"/>
      <c r="AR266" s="2"/>
    </row>
    <row r="267" spans="5:44" s="1" customFormat="1" ht="27">
      <c r="E267" s="2"/>
      <c r="H267" s="5"/>
      <c r="I267" s="9"/>
      <c r="J267" s="9"/>
      <c r="K267" s="6"/>
      <c r="L267" s="6"/>
      <c r="P267" s="2"/>
      <c r="T267" s="2"/>
      <c r="U267" s="2"/>
      <c r="V267" s="2"/>
      <c r="W267" s="172"/>
      <c r="X267" s="172"/>
      <c r="Y267" s="2"/>
      <c r="Z267" s="2"/>
      <c r="AE267" s="2"/>
      <c r="AG267" s="2"/>
      <c r="AH267" s="2"/>
      <c r="AI267" s="2"/>
      <c r="AJ267" s="2"/>
      <c r="AK267" s="2"/>
      <c r="AL267" s="2"/>
      <c r="AO267" s="2"/>
      <c r="AP267" s="2"/>
      <c r="AQ267" s="2"/>
      <c r="AR267" s="2"/>
    </row>
    <row r="268" spans="5:44" s="1" customFormat="1" ht="27">
      <c r="E268" s="2"/>
      <c r="H268" s="5"/>
      <c r="I268" s="9"/>
      <c r="J268" s="9"/>
      <c r="K268" s="6"/>
      <c r="L268" s="6"/>
      <c r="P268" s="2"/>
      <c r="T268" s="2"/>
      <c r="U268" s="2"/>
      <c r="V268" s="2"/>
      <c r="W268" s="172"/>
      <c r="X268" s="172"/>
      <c r="Y268" s="2"/>
      <c r="Z268" s="2"/>
      <c r="AE268" s="2"/>
      <c r="AG268" s="2"/>
      <c r="AH268" s="2"/>
      <c r="AI268" s="2"/>
      <c r="AJ268" s="2"/>
      <c r="AK268" s="2"/>
      <c r="AL268" s="2"/>
      <c r="AO268" s="2"/>
      <c r="AP268" s="2"/>
      <c r="AQ268" s="2"/>
      <c r="AR268" s="2"/>
    </row>
    <row r="269" spans="5:44" s="1" customFormat="1" ht="27">
      <c r="E269" s="2"/>
      <c r="H269" s="5"/>
      <c r="I269" s="9"/>
      <c r="J269" s="9"/>
      <c r="K269" s="6"/>
      <c r="L269" s="6"/>
      <c r="P269" s="2"/>
      <c r="T269" s="2"/>
      <c r="U269" s="2"/>
      <c r="V269" s="2"/>
      <c r="W269" s="172"/>
      <c r="X269" s="172"/>
      <c r="Y269" s="2"/>
      <c r="Z269" s="2"/>
      <c r="AE269" s="2"/>
      <c r="AG269" s="2"/>
      <c r="AH269" s="2"/>
      <c r="AI269" s="2"/>
      <c r="AJ269" s="2"/>
      <c r="AK269" s="2"/>
      <c r="AL269" s="2"/>
      <c r="AO269" s="2"/>
      <c r="AP269" s="2"/>
      <c r="AQ269" s="2"/>
      <c r="AR269" s="2"/>
    </row>
    <row r="270" spans="5:44" s="1" customFormat="1" ht="27">
      <c r="E270" s="2"/>
      <c r="H270" s="5"/>
      <c r="I270" s="9"/>
      <c r="J270" s="9"/>
      <c r="K270" s="6"/>
      <c r="L270" s="6"/>
      <c r="P270" s="2"/>
      <c r="T270" s="2"/>
      <c r="U270" s="2"/>
      <c r="V270" s="2"/>
      <c r="W270" s="172"/>
      <c r="X270" s="172"/>
      <c r="Y270" s="2"/>
      <c r="Z270" s="2"/>
      <c r="AE270" s="2"/>
      <c r="AG270" s="2"/>
      <c r="AH270" s="2"/>
      <c r="AI270" s="2"/>
      <c r="AJ270" s="2"/>
      <c r="AK270" s="2"/>
      <c r="AL270" s="2"/>
      <c r="AO270" s="2"/>
      <c r="AP270" s="2"/>
      <c r="AQ270" s="2"/>
      <c r="AR270" s="2"/>
    </row>
    <row r="271" spans="5:44" s="1" customFormat="1" ht="27">
      <c r="E271" s="2"/>
      <c r="H271" s="5"/>
      <c r="I271" s="9"/>
      <c r="J271" s="9"/>
      <c r="K271" s="6"/>
      <c r="L271" s="6"/>
      <c r="P271" s="2"/>
      <c r="T271" s="2"/>
      <c r="U271" s="2"/>
      <c r="V271" s="2"/>
      <c r="W271" s="172"/>
      <c r="X271" s="172"/>
      <c r="Y271" s="2"/>
      <c r="Z271" s="2"/>
      <c r="AE271" s="2"/>
      <c r="AG271" s="2"/>
      <c r="AH271" s="2"/>
      <c r="AI271" s="2"/>
      <c r="AJ271" s="2"/>
      <c r="AK271" s="2"/>
      <c r="AL271" s="2"/>
      <c r="AO271" s="2"/>
      <c r="AP271" s="2"/>
      <c r="AQ271" s="2"/>
      <c r="AR271" s="2"/>
    </row>
    <row r="272" spans="5:44" s="1" customFormat="1" ht="27">
      <c r="E272" s="2"/>
      <c r="H272" s="5"/>
      <c r="I272" s="9"/>
      <c r="J272" s="9"/>
      <c r="K272" s="6"/>
      <c r="L272" s="6"/>
      <c r="P272" s="2"/>
      <c r="T272" s="2"/>
      <c r="U272" s="2"/>
      <c r="V272" s="2"/>
      <c r="W272" s="172"/>
      <c r="X272" s="172"/>
      <c r="Y272" s="2"/>
      <c r="Z272" s="2"/>
      <c r="AE272" s="2"/>
      <c r="AG272" s="2"/>
      <c r="AH272" s="2"/>
      <c r="AI272" s="2"/>
      <c r="AJ272" s="2"/>
      <c r="AK272" s="2"/>
      <c r="AL272" s="2"/>
      <c r="AO272" s="2"/>
      <c r="AP272" s="2"/>
      <c r="AQ272" s="2"/>
      <c r="AR272" s="2"/>
    </row>
    <row r="273" spans="5:44" s="1" customFormat="1" ht="27">
      <c r="E273" s="2"/>
      <c r="H273" s="5"/>
      <c r="I273" s="9"/>
      <c r="J273" s="9"/>
      <c r="K273" s="6"/>
      <c r="L273" s="6"/>
      <c r="P273" s="2"/>
      <c r="T273" s="2"/>
      <c r="U273" s="2"/>
      <c r="V273" s="2"/>
      <c r="W273" s="172"/>
      <c r="X273" s="172"/>
      <c r="Y273" s="2"/>
      <c r="Z273" s="2"/>
      <c r="AE273" s="2"/>
      <c r="AG273" s="2"/>
      <c r="AH273" s="2"/>
      <c r="AI273" s="2"/>
      <c r="AJ273" s="2"/>
      <c r="AK273" s="2"/>
      <c r="AL273" s="2"/>
      <c r="AO273" s="2"/>
      <c r="AP273" s="2"/>
      <c r="AQ273" s="2"/>
      <c r="AR273" s="2"/>
    </row>
    <row r="274" spans="5:44" s="1" customFormat="1" ht="27">
      <c r="E274" s="2"/>
      <c r="H274" s="5"/>
      <c r="I274" s="9"/>
      <c r="J274" s="9"/>
      <c r="K274" s="6"/>
      <c r="L274" s="6"/>
      <c r="P274" s="2"/>
      <c r="T274" s="2"/>
      <c r="U274" s="2"/>
      <c r="V274" s="2"/>
      <c r="W274" s="172"/>
      <c r="X274" s="172"/>
      <c r="Y274" s="2"/>
      <c r="Z274" s="2"/>
      <c r="AE274" s="2"/>
      <c r="AG274" s="2"/>
      <c r="AH274" s="2"/>
      <c r="AI274" s="2"/>
      <c r="AJ274" s="2"/>
      <c r="AK274" s="2"/>
      <c r="AL274" s="2"/>
      <c r="AO274" s="2"/>
      <c r="AP274" s="2"/>
      <c r="AQ274" s="2"/>
      <c r="AR274" s="2"/>
    </row>
    <row r="275" spans="5:44" s="1" customFormat="1" ht="27">
      <c r="E275" s="2"/>
      <c r="H275" s="5"/>
      <c r="I275" s="9"/>
      <c r="J275" s="9"/>
      <c r="K275" s="6"/>
      <c r="L275" s="6"/>
      <c r="P275" s="2"/>
      <c r="T275" s="2"/>
      <c r="U275" s="2"/>
      <c r="V275" s="2"/>
      <c r="W275" s="172"/>
      <c r="X275" s="172"/>
      <c r="Y275" s="2"/>
      <c r="Z275" s="2"/>
      <c r="AE275" s="2"/>
      <c r="AG275" s="2"/>
      <c r="AH275" s="2"/>
      <c r="AI275" s="2"/>
      <c r="AJ275" s="2"/>
      <c r="AK275" s="2"/>
      <c r="AL275" s="2"/>
      <c r="AO275" s="2"/>
      <c r="AP275" s="2"/>
      <c r="AQ275" s="2"/>
      <c r="AR275" s="2"/>
    </row>
    <row r="276" spans="5:44" s="1" customFormat="1" ht="27">
      <c r="E276" s="2"/>
      <c r="H276" s="5"/>
      <c r="I276" s="9"/>
      <c r="J276" s="9"/>
      <c r="K276" s="6"/>
      <c r="L276" s="6"/>
      <c r="P276" s="2"/>
      <c r="T276" s="2"/>
      <c r="U276" s="2"/>
      <c r="V276" s="2"/>
      <c r="W276" s="172"/>
      <c r="X276" s="172"/>
      <c r="Y276" s="2"/>
      <c r="Z276" s="2"/>
      <c r="AE276" s="2"/>
      <c r="AG276" s="2"/>
      <c r="AH276" s="2"/>
      <c r="AI276" s="2"/>
      <c r="AJ276" s="2"/>
      <c r="AK276" s="2"/>
      <c r="AL276" s="2"/>
      <c r="AO276" s="2"/>
      <c r="AP276" s="2"/>
      <c r="AQ276" s="2"/>
      <c r="AR276" s="2"/>
    </row>
    <row r="277" spans="5:44" s="1" customFormat="1" ht="27">
      <c r="E277" s="2"/>
      <c r="H277" s="5"/>
      <c r="I277" s="9"/>
      <c r="J277" s="9"/>
      <c r="K277" s="6"/>
      <c r="L277" s="6"/>
      <c r="P277" s="2"/>
      <c r="T277" s="2"/>
      <c r="U277" s="2"/>
      <c r="V277" s="2"/>
      <c r="W277" s="172"/>
      <c r="X277" s="172"/>
      <c r="Y277" s="2"/>
      <c r="Z277" s="2"/>
      <c r="AE277" s="2"/>
      <c r="AG277" s="2"/>
      <c r="AH277" s="2"/>
      <c r="AI277" s="2"/>
      <c r="AJ277" s="2"/>
      <c r="AK277" s="2"/>
      <c r="AL277" s="2"/>
      <c r="AO277" s="2"/>
      <c r="AP277" s="2"/>
      <c r="AQ277" s="2"/>
      <c r="AR277" s="2"/>
    </row>
    <row r="278" spans="5:44" s="1" customFormat="1" ht="27">
      <c r="E278" s="2"/>
      <c r="H278" s="5"/>
      <c r="I278" s="9"/>
      <c r="J278" s="9"/>
      <c r="K278" s="6"/>
      <c r="L278" s="6"/>
      <c r="P278" s="2"/>
      <c r="T278" s="2"/>
      <c r="U278" s="2"/>
      <c r="V278" s="2"/>
      <c r="W278" s="172"/>
      <c r="X278" s="172"/>
      <c r="Y278" s="2"/>
      <c r="Z278" s="2"/>
      <c r="AE278" s="2"/>
      <c r="AG278" s="2"/>
      <c r="AH278" s="2"/>
      <c r="AI278" s="2"/>
      <c r="AJ278" s="2"/>
      <c r="AK278" s="2"/>
      <c r="AL278" s="2"/>
      <c r="AO278" s="2"/>
      <c r="AP278" s="2"/>
      <c r="AQ278" s="2"/>
      <c r="AR278" s="2"/>
    </row>
    <row r="279" spans="5:44" s="1" customFormat="1" ht="27">
      <c r="E279" s="2"/>
      <c r="H279" s="5"/>
      <c r="I279" s="9"/>
      <c r="J279" s="9"/>
      <c r="K279" s="6"/>
      <c r="L279" s="6"/>
      <c r="P279" s="2"/>
      <c r="T279" s="2"/>
      <c r="U279" s="2"/>
      <c r="V279" s="2"/>
      <c r="W279" s="172"/>
      <c r="X279" s="172"/>
      <c r="Y279" s="2"/>
      <c r="Z279" s="2"/>
      <c r="AE279" s="2"/>
      <c r="AG279" s="2"/>
      <c r="AH279" s="2"/>
      <c r="AI279" s="2"/>
      <c r="AJ279" s="2"/>
      <c r="AK279" s="2"/>
      <c r="AL279" s="2"/>
      <c r="AO279" s="2"/>
      <c r="AP279" s="2"/>
      <c r="AQ279" s="2"/>
      <c r="AR279" s="2"/>
    </row>
    <row r="280" spans="5:44" s="1" customFormat="1" ht="27">
      <c r="E280" s="2"/>
      <c r="H280" s="5"/>
      <c r="I280" s="9"/>
      <c r="J280" s="9"/>
      <c r="K280" s="6"/>
      <c r="L280" s="6"/>
      <c r="P280" s="2"/>
      <c r="T280" s="2"/>
      <c r="U280" s="2"/>
      <c r="V280" s="2"/>
      <c r="W280" s="172"/>
      <c r="X280" s="172"/>
      <c r="Y280" s="2"/>
      <c r="Z280" s="2"/>
      <c r="AE280" s="2"/>
      <c r="AG280" s="2"/>
      <c r="AH280" s="2"/>
      <c r="AI280" s="2"/>
      <c r="AJ280" s="2"/>
      <c r="AK280" s="2"/>
      <c r="AL280" s="2"/>
      <c r="AO280" s="2"/>
      <c r="AP280" s="2"/>
      <c r="AQ280" s="2"/>
      <c r="AR280" s="2"/>
    </row>
    <row r="281" spans="5:44" s="1" customFormat="1" ht="27">
      <c r="E281" s="2"/>
      <c r="H281" s="5"/>
      <c r="I281" s="9"/>
      <c r="J281" s="9"/>
      <c r="K281" s="6"/>
      <c r="L281" s="6"/>
      <c r="P281" s="2"/>
      <c r="T281" s="2"/>
      <c r="U281" s="2"/>
      <c r="V281" s="2"/>
      <c r="W281" s="172"/>
      <c r="X281" s="172"/>
      <c r="Y281" s="2"/>
      <c r="Z281" s="2"/>
      <c r="AE281" s="2"/>
      <c r="AG281" s="2"/>
      <c r="AH281" s="2"/>
      <c r="AI281" s="2"/>
      <c r="AJ281" s="2"/>
      <c r="AK281" s="2"/>
      <c r="AL281" s="2"/>
      <c r="AO281" s="2"/>
      <c r="AP281" s="2"/>
      <c r="AQ281" s="2"/>
      <c r="AR281" s="2"/>
    </row>
    <row r="282" spans="5:44" s="1" customFormat="1" ht="27">
      <c r="E282" s="2"/>
      <c r="H282" s="5"/>
      <c r="I282" s="9"/>
      <c r="J282" s="9"/>
      <c r="K282" s="6"/>
      <c r="L282" s="6"/>
      <c r="P282" s="2"/>
      <c r="T282" s="2"/>
      <c r="U282" s="2"/>
      <c r="V282" s="2"/>
      <c r="W282" s="172"/>
      <c r="X282" s="172"/>
      <c r="Y282" s="2"/>
      <c r="Z282" s="2"/>
      <c r="AE282" s="2"/>
      <c r="AG282" s="2"/>
      <c r="AH282" s="2"/>
      <c r="AI282" s="2"/>
      <c r="AJ282" s="2"/>
      <c r="AK282" s="2"/>
      <c r="AL282" s="2"/>
      <c r="AO282" s="2"/>
      <c r="AP282" s="2"/>
      <c r="AQ282" s="2"/>
      <c r="AR282" s="2"/>
    </row>
    <row r="283" spans="5:44" s="1" customFormat="1" ht="27">
      <c r="E283" s="2"/>
      <c r="H283" s="5"/>
      <c r="I283" s="9"/>
      <c r="J283" s="9"/>
      <c r="K283" s="6"/>
      <c r="L283" s="6"/>
      <c r="P283" s="2"/>
      <c r="T283" s="2"/>
      <c r="U283" s="2"/>
      <c r="V283" s="2"/>
      <c r="W283" s="172"/>
      <c r="X283" s="172"/>
      <c r="Y283" s="2"/>
      <c r="Z283" s="2"/>
      <c r="AE283" s="2"/>
      <c r="AG283" s="2"/>
      <c r="AH283" s="2"/>
      <c r="AI283" s="2"/>
      <c r="AJ283" s="2"/>
      <c r="AK283" s="2"/>
      <c r="AL283" s="2"/>
      <c r="AO283" s="2"/>
      <c r="AP283" s="2"/>
      <c r="AQ283" s="2"/>
      <c r="AR283" s="2"/>
    </row>
    <row r="284" spans="5:44" s="1" customFormat="1" ht="27">
      <c r="E284" s="2"/>
      <c r="H284" s="5"/>
      <c r="I284" s="9"/>
      <c r="J284" s="9"/>
      <c r="K284" s="6"/>
      <c r="L284" s="6"/>
      <c r="P284" s="2"/>
      <c r="T284" s="2"/>
      <c r="U284" s="2"/>
      <c r="V284" s="2"/>
      <c r="W284" s="172"/>
      <c r="X284" s="172"/>
      <c r="Y284" s="2"/>
      <c r="Z284" s="2"/>
      <c r="AE284" s="2"/>
      <c r="AG284" s="2"/>
      <c r="AH284" s="2"/>
      <c r="AI284" s="2"/>
      <c r="AJ284" s="2"/>
      <c r="AK284" s="2"/>
      <c r="AL284" s="2"/>
      <c r="AO284" s="2"/>
      <c r="AP284" s="2"/>
      <c r="AQ284" s="2"/>
      <c r="AR284" s="2"/>
    </row>
    <row r="285" spans="5:44" s="1" customFormat="1" ht="27">
      <c r="E285" s="2"/>
      <c r="H285" s="5"/>
      <c r="I285" s="9"/>
      <c r="J285" s="9"/>
      <c r="K285" s="6"/>
      <c r="L285" s="6"/>
      <c r="P285" s="2"/>
      <c r="T285" s="2"/>
      <c r="U285" s="2"/>
      <c r="V285" s="2"/>
      <c r="W285" s="172"/>
      <c r="X285" s="172"/>
      <c r="Y285" s="2"/>
      <c r="Z285" s="2"/>
      <c r="AE285" s="2"/>
      <c r="AG285" s="2"/>
      <c r="AH285" s="2"/>
      <c r="AI285" s="2"/>
      <c r="AJ285" s="2"/>
      <c r="AK285" s="2"/>
      <c r="AL285" s="2"/>
      <c r="AO285" s="2"/>
      <c r="AP285" s="2"/>
      <c r="AQ285" s="2"/>
      <c r="AR285" s="2"/>
    </row>
    <row r="286" spans="5:44" s="1" customFormat="1" ht="27">
      <c r="E286" s="2"/>
      <c r="H286" s="5"/>
      <c r="I286" s="9"/>
      <c r="J286" s="9"/>
      <c r="K286" s="6"/>
      <c r="L286" s="6"/>
      <c r="P286" s="2"/>
      <c r="T286" s="2"/>
      <c r="U286" s="2"/>
      <c r="V286" s="2"/>
      <c r="W286" s="172"/>
      <c r="X286" s="172"/>
      <c r="Y286" s="2"/>
      <c r="Z286" s="2"/>
      <c r="AE286" s="2"/>
      <c r="AG286" s="2"/>
      <c r="AH286" s="2"/>
      <c r="AI286" s="2"/>
      <c r="AJ286" s="2"/>
      <c r="AK286" s="2"/>
      <c r="AL286" s="2"/>
      <c r="AO286" s="2"/>
      <c r="AP286" s="2"/>
      <c r="AQ286" s="2"/>
      <c r="AR286" s="2"/>
    </row>
    <row r="287" spans="5:44" s="1" customFormat="1" ht="27">
      <c r="E287" s="2"/>
      <c r="H287" s="5"/>
      <c r="I287" s="9"/>
      <c r="J287" s="9"/>
      <c r="K287" s="6"/>
      <c r="L287" s="6"/>
      <c r="P287" s="2"/>
      <c r="T287" s="2"/>
      <c r="U287" s="2"/>
      <c r="V287" s="2"/>
      <c r="W287" s="172"/>
      <c r="X287" s="172"/>
      <c r="Y287" s="2"/>
      <c r="Z287" s="2"/>
      <c r="AE287" s="2"/>
      <c r="AG287" s="2"/>
      <c r="AH287" s="2"/>
      <c r="AI287" s="2"/>
      <c r="AJ287" s="2"/>
      <c r="AK287" s="2"/>
      <c r="AL287" s="2"/>
      <c r="AO287" s="2"/>
      <c r="AP287" s="2"/>
      <c r="AQ287" s="2"/>
      <c r="AR287" s="2"/>
    </row>
    <row r="288" spans="5:44" s="1" customFormat="1" ht="27">
      <c r="E288" s="2"/>
      <c r="H288" s="5"/>
      <c r="I288" s="9"/>
      <c r="J288" s="9"/>
      <c r="K288" s="6"/>
      <c r="L288" s="6"/>
      <c r="P288" s="2"/>
      <c r="T288" s="2"/>
      <c r="U288" s="2"/>
      <c r="V288" s="2"/>
      <c r="W288" s="172"/>
      <c r="X288" s="172"/>
      <c r="Y288" s="2"/>
      <c r="Z288" s="2"/>
      <c r="AE288" s="2"/>
      <c r="AG288" s="2"/>
      <c r="AH288" s="2"/>
      <c r="AI288" s="2"/>
      <c r="AJ288" s="2"/>
      <c r="AK288" s="2"/>
      <c r="AL288" s="2"/>
      <c r="AO288" s="2"/>
      <c r="AP288" s="2"/>
      <c r="AQ288" s="2"/>
      <c r="AR288" s="2"/>
    </row>
    <row r="289" spans="5:44" s="1" customFormat="1" ht="27">
      <c r="E289" s="2"/>
      <c r="H289" s="5"/>
      <c r="I289" s="9"/>
      <c r="J289" s="9"/>
      <c r="K289" s="6"/>
      <c r="L289" s="6"/>
      <c r="P289" s="2"/>
      <c r="T289" s="2"/>
      <c r="U289" s="2"/>
      <c r="V289" s="2"/>
      <c r="W289" s="172"/>
      <c r="X289" s="172"/>
      <c r="Y289" s="2"/>
      <c r="Z289" s="2"/>
      <c r="AE289" s="2"/>
      <c r="AG289" s="2"/>
      <c r="AH289" s="2"/>
      <c r="AI289" s="2"/>
      <c r="AJ289" s="2"/>
      <c r="AK289" s="2"/>
      <c r="AL289" s="2"/>
      <c r="AO289" s="2"/>
      <c r="AP289" s="2"/>
      <c r="AQ289" s="2"/>
      <c r="AR289" s="2"/>
    </row>
    <row r="290" spans="5:44" s="1" customFormat="1" ht="27">
      <c r="E290" s="2"/>
      <c r="H290" s="5"/>
      <c r="I290" s="9"/>
      <c r="J290" s="9"/>
      <c r="K290" s="6"/>
      <c r="L290" s="6"/>
      <c r="P290" s="2"/>
      <c r="T290" s="2"/>
      <c r="U290" s="2"/>
      <c r="V290" s="2"/>
      <c r="W290" s="172"/>
      <c r="X290" s="172"/>
      <c r="Y290" s="2"/>
      <c r="Z290" s="2"/>
      <c r="AE290" s="2"/>
      <c r="AG290" s="2"/>
      <c r="AH290" s="2"/>
      <c r="AI290" s="2"/>
      <c r="AJ290" s="2"/>
      <c r="AK290" s="2"/>
      <c r="AL290" s="2"/>
      <c r="AO290" s="2"/>
      <c r="AP290" s="2"/>
      <c r="AQ290" s="2"/>
      <c r="AR290" s="2"/>
    </row>
    <row r="291" spans="5:44" s="1" customFormat="1" ht="27">
      <c r="E291" s="2"/>
      <c r="H291" s="5"/>
      <c r="I291" s="9"/>
      <c r="J291" s="9"/>
      <c r="K291" s="6"/>
      <c r="L291" s="6"/>
      <c r="P291" s="2"/>
      <c r="T291" s="2"/>
      <c r="U291" s="2"/>
      <c r="V291" s="2"/>
      <c r="W291" s="172"/>
      <c r="X291" s="172"/>
      <c r="Y291" s="2"/>
      <c r="Z291" s="2"/>
      <c r="AE291" s="2"/>
      <c r="AG291" s="2"/>
      <c r="AH291" s="2"/>
      <c r="AI291" s="2"/>
      <c r="AJ291" s="2"/>
      <c r="AK291" s="2"/>
      <c r="AL291" s="2"/>
      <c r="AO291" s="2"/>
      <c r="AP291" s="2"/>
      <c r="AQ291" s="2"/>
      <c r="AR291" s="2"/>
    </row>
    <row r="292" spans="5:44" s="1" customFormat="1" ht="27">
      <c r="E292" s="2"/>
      <c r="H292" s="5"/>
      <c r="I292" s="9"/>
      <c r="J292" s="9"/>
      <c r="K292" s="6"/>
      <c r="L292" s="6"/>
      <c r="P292" s="2"/>
      <c r="T292" s="2"/>
      <c r="U292" s="2"/>
      <c r="V292" s="2"/>
      <c r="W292" s="172"/>
      <c r="X292" s="172"/>
      <c r="Y292" s="2"/>
      <c r="Z292" s="2"/>
      <c r="AE292" s="2"/>
      <c r="AG292" s="2"/>
      <c r="AH292" s="2"/>
      <c r="AI292" s="2"/>
      <c r="AJ292" s="2"/>
      <c r="AK292" s="2"/>
      <c r="AL292" s="2"/>
      <c r="AO292" s="2"/>
      <c r="AP292" s="2"/>
      <c r="AQ292" s="2"/>
      <c r="AR292" s="2"/>
    </row>
    <row r="293" spans="5:44" s="1" customFormat="1" ht="27">
      <c r="E293" s="2"/>
      <c r="H293" s="5"/>
      <c r="I293" s="9"/>
      <c r="J293" s="9"/>
      <c r="K293" s="6"/>
      <c r="L293" s="6"/>
      <c r="P293" s="2"/>
      <c r="T293" s="2"/>
      <c r="U293" s="2"/>
      <c r="V293" s="2"/>
      <c r="W293" s="172"/>
      <c r="X293" s="172"/>
      <c r="Y293" s="2"/>
      <c r="Z293" s="2"/>
      <c r="AE293" s="2"/>
      <c r="AG293" s="2"/>
      <c r="AH293" s="2"/>
      <c r="AI293" s="2"/>
      <c r="AJ293" s="2"/>
      <c r="AK293" s="2"/>
      <c r="AL293" s="2"/>
      <c r="AO293" s="2"/>
      <c r="AP293" s="2"/>
      <c r="AQ293" s="2"/>
      <c r="AR293" s="2"/>
    </row>
    <row r="294" spans="5:44" s="1" customFormat="1" ht="27">
      <c r="E294" s="2"/>
      <c r="H294" s="5"/>
      <c r="I294" s="9"/>
      <c r="J294" s="9"/>
      <c r="K294" s="6"/>
      <c r="L294" s="6"/>
      <c r="P294" s="2"/>
      <c r="T294" s="2"/>
      <c r="U294" s="2"/>
      <c r="V294" s="2"/>
      <c r="W294" s="172"/>
      <c r="X294" s="172"/>
      <c r="Y294" s="2"/>
      <c r="Z294" s="2"/>
      <c r="AE294" s="2"/>
      <c r="AG294" s="2"/>
      <c r="AH294" s="2"/>
      <c r="AI294" s="2"/>
      <c r="AJ294" s="2"/>
      <c r="AK294" s="2"/>
      <c r="AL294" s="2"/>
      <c r="AO294" s="2"/>
      <c r="AP294" s="2"/>
      <c r="AQ294" s="2"/>
      <c r="AR294" s="2"/>
    </row>
    <row r="295" spans="5:44" s="1" customFormat="1" ht="27">
      <c r="E295" s="2"/>
      <c r="H295" s="5"/>
      <c r="I295" s="9"/>
      <c r="J295" s="9"/>
      <c r="K295" s="6"/>
      <c r="L295" s="6"/>
      <c r="P295" s="2"/>
      <c r="T295" s="2"/>
      <c r="U295" s="2"/>
      <c r="V295" s="2"/>
      <c r="W295" s="172"/>
      <c r="X295" s="172"/>
      <c r="Y295" s="2"/>
      <c r="Z295" s="2"/>
      <c r="AE295" s="2"/>
      <c r="AG295" s="2"/>
      <c r="AH295" s="2"/>
      <c r="AI295" s="2"/>
      <c r="AJ295" s="2"/>
      <c r="AK295" s="2"/>
      <c r="AL295" s="2"/>
      <c r="AO295" s="2"/>
      <c r="AP295" s="2"/>
      <c r="AQ295" s="2"/>
      <c r="AR295" s="2"/>
    </row>
    <row r="296" spans="5:44" s="1" customFormat="1" ht="27">
      <c r="E296" s="2"/>
      <c r="H296" s="5"/>
      <c r="I296" s="9"/>
      <c r="J296" s="9"/>
      <c r="K296" s="6"/>
      <c r="L296" s="6"/>
      <c r="P296" s="2"/>
      <c r="T296" s="2"/>
      <c r="U296" s="2"/>
      <c r="V296" s="2"/>
      <c r="W296" s="172"/>
      <c r="X296" s="172"/>
      <c r="Y296" s="2"/>
      <c r="Z296" s="2"/>
      <c r="AE296" s="2"/>
      <c r="AG296" s="2"/>
      <c r="AH296" s="2"/>
      <c r="AI296" s="2"/>
      <c r="AJ296" s="2"/>
      <c r="AK296" s="2"/>
      <c r="AL296" s="2"/>
      <c r="AO296" s="2"/>
      <c r="AP296" s="2"/>
      <c r="AQ296" s="2"/>
      <c r="AR296" s="2"/>
    </row>
    <row r="297" spans="5:44" s="1" customFormat="1" ht="27">
      <c r="E297" s="2"/>
      <c r="H297" s="5"/>
      <c r="I297" s="9"/>
      <c r="J297" s="9"/>
      <c r="K297" s="6"/>
      <c r="L297" s="6"/>
      <c r="P297" s="2"/>
      <c r="T297" s="2"/>
      <c r="U297" s="2"/>
      <c r="V297" s="2"/>
      <c r="W297" s="172"/>
      <c r="X297" s="172"/>
      <c r="Y297" s="2"/>
      <c r="Z297" s="2"/>
      <c r="AE297" s="2"/>
      <c r="AG297" s="2"/>
      <c r="AH297" s="2"/>
      <c r="AI297" s="2"/>
      <c r="AJ297" s="2"/>
      <c r="AK297" s="2"/>
      <c r="AL297" s="2"/>
      <c r="AO297" s="2"/>
      <c r="AP297" s="2"/>
      <c r="AQ297" s="2"/>
      <c r="AR297" s="2"/>
    </row>
    <row r="298" spans="5:44" s="1" customFormat="1" ht="27">
      <c r="E298" s="2"/>
      <c r="H298" s="5"/>
      <c r="I298" s="9"/>
      <c r="J298" s="9"/>
      <c r="K298" s="6"/>
      <c r="L298" s="6"/>
      <c r="P298" s="2"/>
      <c r="T298" s="2"/>
      <c r="U298" s="2"/>
      <c r="V298" s="2"/>
      <c r="W298" s="172"/>
      <c r="X298" s="172"/>
      <c r="Y298" s="2"/>
      <c r="Z298" s="2"/>
      <c r="AE298" s="2"/>
      <c r="AG298" s="2"/>
      <c r="AH298" s="2"/>
      <c r="AI298" s="2"/>
      <c r="AJ298" s="2"/>
      <c r="AK298" s="2"/>
      <c r="AL298" s="2"/>
      <c r="AO298" s="2"/>
      <c r="AP298" s="2"/>
      <c r="AQ298" s="2"/>
      <c r="AR298" s="2"/>
    </row>
    <row r="299" spans="5:44" s="1" customFormat="1" ht="27">
      <c r="E299" s="2"/>
      <c r="H299" s="5"/>
      <c r="I299" s="9"/>
      <c r="J299" s="9"/>
      <c r="K299" s="6"/>
      <c r="L299" s="6"/>
      <c r="P299" s="2"/>
      <c r="T299" s="2"/>
      <c r="U299" s="2"/>
      <c r="V299" s="2"/>
      <c r="W299" s="172"/>
      <c r="X299" s="172"/>
      <c r="Y299" s="2"/>
      <c r="Z299" s="2"/>
      <c r="AE299" s="2"/>
      <c r="AG299" s="2"/>
      <c r="AH299" s="2"/>
      <c r="AI299" s="2"/>
      <c r="AJ299" s="2"/>
      <c r="AK299" s="2"/>
      <c r="AL299" s="2"/>
      <c r="AO299" s="2"/>
      <c r="AP299" s="2"/>
      <c r="AQ299" s="2"/>
      <c r="AR299" s="2"/>
    </row>
    <row r="300" spans="5:44" s="1" customFormat="1" ht="27">
      <c r="E300" s="2"/>
      <c r="H300" s="5"/>
      <c r="I300" s="9"/>
      <c r="J300" s="9"/>
      <c r="K300" s="6"/>
      <c r="L300" s="6"/>
      <c r="P300" s="2"/>
      <c r="T300" s="2"/>
      <c r="U300" s="2"/>
      <c r="V300" s="2"/>
      <c r="W300" s="172"/>
      <c r="X300" s="172"/>
      <c r="Y300" s="2"/>
      <c r="Z300" s="2"/>
      <c r="AE300" s="2"/>
      <c r="AG300" s="2"/>
      <c r="AH300" s="2"/>
      <c r="AI300" s="2"/>
      <c r="AJ300" s="2"/>
      <c r="AK300" s="2"/>
      <c r="AL300" s="2"/>
      <c r="AO300" s="2"/>
      <c r="AP300" s="2"/>
      <c r="AQ300" s="2"/>
      <c r="AR300" s="2"/>
    </row>
    <row r="301" spans="5:44" s="1" customFormat="1" ht="27">
      <c r="E301" s="2"/>
      <c r="H301" s="5"/>
      <c r="I301" s="9"/>
      <c r="J301" s="9"/>
      <c r="K301" s="6"/>
      <c r="L301" s="6"/>
      <c r="P301" s="2"/>
      <c r="T301" s="2"/>
      <c r="U301" s="2"/>
      <c r="V301" s="2"/>
      <c r="W301" s="172"/>
      <c r="X301" s="172"/>
      <c r="Y301" s="2"/>
      <c r="Z301" s="2"/>
      <c r="AE301" s="2"/>
      <c r="AG301" s="2"/>
      <c r="AH301" s="2"/>
      <c r="AI301" s="2"/>
      <c r="AJ301" s="2"/>
      <c r="AK301" s="2"/>
      <c r="AL301" s="2"/>
      <c r="AO301" s="2"/>
      <c r="AP301" s="2"/>
      <c r="AQ301" s="2"/>
      <c r="AR301" s="2"/>
    </row>
    <row r="302" spans="5:44" s="1" customFormat="1" ht="27">
      <c r="E302" s="2"/>
      <c r="H302" s="5"/>
      <c r="I302" s="9"/>
      <c r="J302" s="9"/>
      <c r="K302" s="6"/>
      <c r="L302" s="6"/>
      <c r="P302" s="2"/>
      <c r="T302" s="2"/>
      <c r="U302" s="2"/>
      <c r="V302" s="2"/>
      <c r="W302" s="172"/>
      <c r="X302" s="172"/>
      <c r="Y302" s="2"/>
      <c r="Z302" s="2"/>
      <c r="AE302" s="2"/>
      <c r="AG302" s="2"/>
      <c r="AH302" s="2"/>
      <c r="AI302" s="2"/>
      <c r="AJ302" s="2"/>
      <c r="AK302" s="2"/>
      <c r="AL302" s="2"/>
      <c r="AO302" s="2"/>
      <c r="AP302" s="2"/>
      <c r="AQ302" s="2"/>
      <c r="AR302" s="2"/>
    </row>
    <row r="303" spans="5:44" s="1" customFormat="1" ht="27">
      <c r="E303" s="2"/>
      <c r="H303" s="5"/>
      <c r="I303" s="9"/>
      <c r="J303" s="9"/>
      <c r="K303" s="6"/>
      <c r="L303" s="6"/>
      <c r="P303" s="2"/>
      <c r="T303" s="2"/>
      <c r="U303" s="2"/>
      <c r="V303" s="2"/>
      <c r="W303" s="172"/>
      <c r="X303" s="172"/>
      <c r="Y303" s="2"/>
      <c r="Z303" s="2"/>
      <c r="AE303" s="2"/>
      <c r="AG303" s="2"/>
      <c r="AH303" s="2"/>
      <c r="AI303" s="2"/>
      <c r="AJ303" s="2"/>
      <c r="AK303" s="2"/>
      <c r="AL303" s="2"/>
      <c r="AO303" s="2"/>
      <c r="AP303" s="2"/>
      <c r="AQ303" s="2"/>
      <c r="AR303" s="2"/>
    </row>
    <row r="304" spans="5:44" s="1" customFormat="1" ht="27">
      <c r="E304" s="2"/>
      <c r="H304" s="5"/>
      <c r="I304" s="9"/>
      <c r="J304" s="9"/>
      <c r="K304" s="6"/>
      <c r="L304" s="6"/>
      <c r="P304" s="2"/>
      <c r="T304" s="2"/>
      <c r="U304" s="2"/>
      <c r="V304" s="2"/>
      <c r="W304" s="172"/>
      <c r="X304" s="172"/>
      <c r="Y304" s="2"/>
      <c r="Z304" s="2"/>
      <c r="AE304" s="2"/>
      <c r="AG304" s="2"/>
      <c r="AH304" s="2"/>
      <c r="AI304" s="2"/>
      <c r="AJ304" s="2"/>
      <c r="AK304" s="2"/>
      <c r="AL304" s="2"/>
      <c r="AO304" s="2"/>
      <c r="AP304" s="2"/>
      <c r="AQ304" s="2"/>
      <c r="AR304" s="2"/>
    </row>
    <row r="305" spans="5:44" s="1" customFormat="1" ht="27">
      <c r="E305" s="2"/>
      <c r="H305" s="5"/>
      <c r="I305" s="9"/>
      <c r="J305" s="9"/>
      <c r="K305" s="6"/>
      <c r="L305" s="6"/>
      <c r="P305" s="2"/>
      <c r="T305" s="2"/>
      <c r="U305" s="2"/>
      <c r="V305" s="2"/>
      <c r="W305" s="172"/>
      <c r="X305" s="172"/>
      <c r="Y305" s="2"/>
      <c r="Z305" s="2"/>
      <c r="AE305" s="2"/>
      <c r="AG305" s="2"/>
      <c r="AH305" s="2"/>
      <c r="AI305" s="2"/>
      <c r="AJ305" s="2"/>
      <c r="AK305" s="2"/>
      <c r="AL305" s="2"/>
      <c r="AO305" s="2"/>
      <c r="AP305" s="2"/>
      <c r="AQ305" s="2"/>
      <c r="AR305" s="2"/>
    </row>
    <row r="306" spans="5:44" s="1" customFormat="1" ht="27">
      <c r="E306" s="2"/>
      <c r="H306" s="5"/>
      <c r="I306" s="9"/>
      <c r="J306" s="9"/>
      <c r="K306" s="6"/>
      <c r="L306" s="6"/>
      <c r="P306" s="2"/>
      <c r="T306" s="2"/>
      <c r="U306" s="2"/>
      <c r="V306" s="2"/>
      <c r="W306" s="172"/>
      <c r="X306" s="172"/>
      <c r="Y306" s="2"/>
      <c r="Z306" s="2"/>
      <c r="AE306" s="2"/>
      <c r="AG306" s="2"/>
      <c r="AH306" s="2"/>
      <c r="AI306" s="2"/>
      <c r="AJ306" s="2"/>
      <c r="AK306" s="2"/>
      <c r="AL306" s="2"/>
      <c r="AO306" s="2"/>
      <c r="AP306" s="2"/>
      <c r="AQ306" s="2"/>
      <c r="AR306" s="2"/>
    </row>
    <row r="307" spans="5:44" s="1" customFormat="1" ht="27">
      <c r="E307" s="2"/>
      <c r="H307" s="5"/>
      <c r="I307" s="9"/>
      <c r="J307" s="9"/>
      <c r="K307" s="6"/>
      <c r="L307" s="6"/>
      <c r="P307" s="2"/>
      <c r="T307" s="2"/>
      <c r="U307" s="2"/>
      <c r="V307" s="2"/>
      <c r="W307" s="172"/>
      <c r="X307" s="172"/>
      <c r="Y307" s="2"/>
      <c r="Z307" s="2"/>
      <c r="AE307" s="2"/>
      <c r="AG307" s="2"/>
      <c r="AH307" s="2"/>
      <c r="AI307" s="2"/>
      <c r="AJ307" s="2"/>
      <c r="AK307" s="2"/>
      <c r="AL307" s="2"/>
      <c r="AO307" s="2"/>
      <c r="AP307" s="2"/>
      <c r="AQ307" s="2"/>
      <c r="AR307" s="2"/>
    </row>
    <row r="308" spans="5:44" s="1" customFormat="1" ht="27">
      <c r="E308" s="2"/>
      <c r="H308" s="5"/>
      <c r="I308" s="9"/>
      <c r="J308" s="9"/>
      <c r="K308" s="6"/>
      <c r="L308" s="6"/>
      <c r="P308" s="2"/>
      <c r="T308" s="2"/>
      <c r="U308" s="2"/>
      <c r="V308" s="2"/>
      <c r="W308" s="172"/>
      <c r="X308" s="172"/>
      <c r="Y308" s="2"/>
      <c r="Z308" s="2"/>
      <c r="AE308" s="2"/>
      <c r="AG308" s="2"/>
      <c r="AH308" s="2"/>
      <c r="AI308" s="2"/>
      <c r="AJ308" s="2"/>
      <c r="AK308" s="2"/>
      <c r="AL308" s="2"/>
      <c r="AO308" s="2"/>
      <c r="AP308" s="2"/>
      <c r="AQ308" s="2"/>
      <c r="AR308" s="2"/>
    </row>
    <row r="309" spans="5:44" s="1" customFormat="1" ht="27">
      <c r="E309" s="2"/>
      <c r="H309" s="5"/>
      <c r="I309" s="9"/>
      <c r="J309" s="9"/>
      <c r="K309" s="6"/>
      <c r="L309" s="6"/>
      <c r="P309" s="2"/>
      <c r="T309" s="2"/>
      <c r="U309" s="2"/>
      <c r="V309" s="2"/>
      <c r="W309" s="172"/>
      <c r="X309" s="172"/>
      <c r="Y309" s="2"/>
      <c r="Z309" s="2"/>
      <c r="AE309" s="2"/>
      <c r="AG309" s="2"/>
      <c r="AH309" s="2"/>
      <c r="AI309" s="2"/>
      <c r="AJ309" s="2"/>
      <c r="AK309" s="2"/>
      <c r="AL309" s="2"/>
      <c r="AO309" s="2"/>
      <c r="AP309" s="2"/>
      <c r="AQ309" s="2"/>
      <c r="AR309" s="2"/>
    </row>
    <row r="310" spans="5:44" s="1" customFormat="1" ht="27">
      <c r="E310" s="2"/>
      <c r="H310" s="5"/>
      <c r="I310" s="9"/>
      <c r="J310" s="9"/>
      <c r="K310" s="6"/>
      <c r="L310" s="6"/>
      <c r="P310" s="2"/>
      <c r="T310" s="2"/>
      <c r="U310" s="2"/>
      <c r="V310" s="2"/>
      <c r="W310" s="172"/>
      <c r="X310" s="172"/>
      <c r="Y310" s="2"/>
      <c r="Z310" s="2"/>
      <c r="AE310" s="2"/>
      <c r="AG310" s="2"/>
      <c r="AH310" s="2"/>
      <c r="AI310" s="2"/>
      <c r="AJ310" s="2"/>
      <c r="AK310" s="2"/>
      <c r="AL310" s="2"/>
      <c r="AO310" s="2"/>
      <c r="AP310" s="2"/>
      <c r="AQ310" s="2"/>
      <c r="AR310" s="2"/>
    </row>
    <row r="311" spans="5:44" s="1" customFormat="1" ht="27">
      <c r="E311" s="2"/>
      <c r="H311" s="5"/>
      <c r="I311" s="9"/>
      <c r="J311" s="9"/>
      <c r="K311" s="6"/>
      <c r="L311" s="6"/>
      <c r="P311" s="2"/>
      <c r="T311" s="2"/>
      <c r="U311" s="2"/>
      <c r="V311" s="2"/>
      <c r="W311" s="172"/>
      <c r="X311" s="172"/>
      <c r="Y311" s="2"/>
      <c r="Z311" s="2"/>
      <c r="AE311" s="2"/>
      <c r="AG311" s="2"/>
      <c r="AH311" s="2"/>
      <c r="AI311" s="2"/>
      <c r="AJ311" s="2"/>
      <c r="AK311" s="2"/>
      <c r="AL311" s="2"/>
      <c r="AO311" s="2"/>
      <c r="AP311" s="2"/>
      <c r="AQ311" s="2"/>
      <c r="AR311" s="2"/>
    </row>
    <row r="312" spans="5:44" s="1" customFormat="1" ht="27">
      <c r="E312" s="2"/>
      <c r="H312" s="5"/>
      <c r="I312" s="9"/>
      <c r="J312" s="9"/>
      <c r="K312" s="6"/>
      <c r="L312" s="6"/>
      <c r="P312" s="2"/>
      <c r="T312" s="2"/>
      <c r="U312" s="2"/>
      <c r="V312" s="2"/>
      <c r="W312" s="172"/>
      <c r="X312" s="172"/>
      <c r="Y312" s="2"/>
      <c r="Z312" s="2"/>
      <c r="AE312" s="2"/>
      <c r="AG312" s="2"/>
      <c r="AH312" s="2"/>
      <c r="AI312" s="2"/>
      <c r="AJ312" s="2"/>
      <c r="AK312" s="2"/>
      <c r="AL312" s="2"/>
      <c r="AO312" s="2"/>
      <c r="AP312" s="2"/>
      <c r="AQ312" s="2"/>
      <c r="AR312" s="2"/>
    </row>
    <row r="313" spans="5:44" s="1" customFormat="1" ht="27">
      <c r="E313" s="2"/>
      <c r="H313" s="5"/>
      <c r="I313" s="9"/>
      <c r="J313" s="9"/>
      <c r="K313" s="6"/>
      <c r="L313" s="6"/>
      <c r="P313" s="2"/>
      <c r="T313" s="2"/>
      <c r="U313" s="2"/>
      <c r="V313" s="2"/>
      <c r="W313" s="172"/>
      <c r="X313" s="172"/>
      <c r="Y313" s="2"/>
      <c r="Z313" s="2"/>
      <c r="AE313" s="2"/>
      <c r="AG313" s="2"/>
      <c r="AH313" s="2"/>
      <c r="AI313" s="2"/>
      <c r="AJ313" s="2"/>
      <c r="AK313" s="2"/>
      <c r="AL313" s="2"/>
      <c r="AO313" s="2"/>
      <c r="AP313" s="2"/>
      <c r="AQ313" s="2"/>
      <c r="AR313" s="2"/>
    </row>
    <row r="314" spans="5:44" s="1" customFormat="1" ht="27">
      <c r="E314" s="2"/>
      <c r="H314" s="5"/>
      <c r="I314" s="9"/>
      <c r="J314" s="9"/>
      <c r="K314" s="6"/>
      <c r="L314" s="6"/>
      <c r="P314" s="2"/>
      <c r="T314" s="2"/>
      <c r="U314" s="2"/>
      <c r="V314" s="2"/>
      <c r="W314" s="172"/>
      <c r="X314" s="172"/>
      <c r="Y314" s="2"/>
      <c r="Z314" s="2"/>
      <c r="AE314" s="2"/>
      <c r="AG314" s="2"/>
      <c r="AH314" s="2"/>
      <c r="AI314" s="2"/>
      <c r="AJ314" s="2"/>
      <c r="AK314" s="2"/>
      <c r="AL314" s="2"/>
      <c r="AO314" s="2"/>
      <c r="AP314" s="2"/>
      <c r="AQ314" s="2"/>
      <c r="AR314" s="2"/>
    </row>
    <row r="315" spans="5:44" s="1" customFormat="1" ht="27">
      <c r="E315" s="2"/>
      <c r="H315" s="5"/>
      <c r="I315" s="9"/>
      <c r="J315" s="9"/>
      <c r="K315" s="6"/>
      <c r="L315" s="6"/>
      <c r="P315" s="2"/>
      <c r="T315" s="2"/>
      <c r="U315" s="2"/>
      <c r="V315" s="2"/>
      <c r="W315" s="172"/>
      <c r="X315" s="172"/>
      <c r="Y315" s="2"/>
      <c r="Z315" s="2"/>
      <c r="AE315" s="2"/>
      <c r="AG315" s="2"/>
      <c r="AH315" s="2"/>
      <c r="AI315" s="2"/>
      <c r="AJ315" s="2"/>
      <c r="AK315" s="2"/>
      <c r="AL315" s="2"/>
      <c r="AO315" s="2"/>
      <c r="AP315" s="2"/>
      <c r="AQ315" s="2"/>
      <c r="AR315" s="2"/>
    </row>
    <row r="316" spans="5:44" s="1" customFormat="1" ht="27">
      <c r="E316" s="2"/>
      <c r="H316" s="5"/>
      <c r="I316" s="9"/>
      <c r="J316" s="9"/>
      <c r="K316" s="6"/>
      <c r="L316" s="6"/>
      <c r="P316" s="2"/>
      <c r="T316" s="2"/>
      <c r="U316" s="2"/>
      <c r="V316" s="2"/>
      <c r="W316" s="172"/>
      <c r="X316" s="172"/>
      <c r="Y316" s="2"/>
      <c r="Z316" s="2"/>
      <c r="AE316" s="2"/>
      <c r="AG316" s="2"/>
      <c r="AH316" s="2"/>
      <c r="AI316" s="2"/>
      <c r="AJ316" s="2"/>
      <c r="AK316" s="2"/>
      <c r="AL316" s="2"/>
      <c r="AO316" s="2"/>
      <c r="AP316" s="2"/>
      <c r="AQ316" s="2"/>
      <c r="AR316" s="2"/>
    </row>
    <row r="317" spans="5:44" s="1" customFormat="1" ht="27">
      <c r="E317" s="2"/>
      <c r="H317" s="5"/>
      <c r="I317" s="9"/>
      <c r="J317" s="9"/>
      <c r="K317" s="6"/>
      <c r="L317" s="6"/>
      <c r="P317" s="2"/>
      <c r="T317" s="2"/>
      <c r="U317" s="2"/>
      <c r="V317" s="2"/>
      <c r="W317" s="172"/>
      <c r="X317" s="172"/>
      <c r="Y317" s="2"/>
      <c r="Z317" s="2"/>
      <c r="AE317" s="2"/>
      <c r="AG317" s="2"/>
      <c r="AH317" s="2"/>
      <c r="AI317" s="2"/>
      <c r="AJ317" s="2"/>
      <c r="AK317" s="2"/>
      <c r="AL317" s="2"/>
      <c r="AO317" s="2"/>
      <c r="AP317" s="2"/>
      <c r="AQ317" s="2"/>
      <c r="AR317" s="2"/>
    </row>
    <row r="318" spans="5:44" s="1" customFormat="1" ht="27">
      <c r="E318" s="2"/>
      <c r="H318" s="5"/>
      <c r="I318" s="9"/>
      <c r="J318" s="9"/>
      <c r="K318" s="6"/>
      <c r="L318" s="6"/>
      <c r="P318" s="2"/>
      <c r="T318" s="2"/>
      <c r="U318" s="2"/>
      <c r="V318" s="2"/>
      <c r="W318" s="172"/>
      <c r="X318" s="172"/>
      <c r="Y318" s="2"/>
      <c r="Z318" s="2"/>
      <c r="AE318" s="2"/>
      <c r="AG318" s="2"/>
      <c r="AH318" s="2"/>
      <c r="AI318" s="2"/>
      <c r="AJ318" s="2"/>
      <c r="AK318" s="2"/>
      <c r="AL318" s="2"/>
      <c r="AO318" s="2"/>
      <c r="AP318" s="2"/>
      <c r="AQ318" s="2"/>
      <c r="AR318" s="2"/>
    </row>
    <row r="319" spans="5:44" s="1" customFormat="1" ht="27">
      <c r="E319" s="2"/>
      <c r="H319" s="5"/>
      <c r="I319" s="9"/>
      <c r="J319" s="9"/>
      <c r="K319" s="6"/>
      <c r="L319" s="6"/>
      <c r="P319" s="2"/>
      <c r="T319" s="2"/>
      <c r="U319" s="2"/>
      <c r="V319" s="2"/>
      <c r="W319" s="172"/>
      <c r="X319" s="172"/>
      <c r="Y319" s="2"/>
      <c r="Z319" s="2"/>
      <c r="AE319" s="2"/>
      <c r="AG319" s="2"/>
      <c r="AH319" s="2"/>
      <c r="AI319" s="2"/>
      <c r="AJ319" s="2"/>
      <c r="AK319" s="2"/>
      <c r="AL319" s="2"/>
      <c r="AO319" s="2"/>
      <c r="AP319" s="2"/>
      <c r="AQ319" s="2"/>
      <c r="AR319" s="2"/>
    </row>
    <row r="320" spans="5:44" s="1" customFormat="1" ht="27">
      <c r="E320" s="2"/>
      <c r="H320" s="5"/>
      <c r="I320" s="9"/>
      <c r="J320" s="9"/>
      <c r="K320" s="6"/>
      <c r="L320" s="6"/>
      <c r="P320" s="2"/>
      <c r="T320" s="2"/>
      <c r="U320" s="2"/>
      <c r="V320" s="2"/>
      <c r="W320" s="172"/>
      <c r="X320" s="172"/>
      <c r="Y320" s="2"/>
      <c r="Z320" s="2"/>
      <c r="AE320" s="2"/>
      <c r="AG320" s="2"/>
      <c r="AH320" s="2"/>
      <c r="AI320" s="2"/>
      <c r="AJ320" s="2"/>
      <c r="AK320" s="2"/>
      <c r="AL320" s="2"/>
      <c r="AO320" s="2"/>
      <c r="AP320" s="2"/>
      <c r="AQ320" s="2"/>
      <c r="AR320" s="2"/>
    </row>
    <row r="321" spans="5:44" s="1" customFormat="1" ht="27">
      <c r="E321" s="2"/>
      <c r="H321" s="5"/>
      <c r="I321" s="9"/>
      <c r="J321" s="9"/>
      <c r="K321" s="6"/>
      <c r="L321" s="6"/>
      <c r="P321" s="2"/>
      <c r="T321" s="2"/>
      <c r="U321" s="2"/>
      <c r="V321" s="2"/>
      <c r="W321" s="172"/>
      <c r="X321" s="172"/>
      <c r="Y321" s="2"/>
      <c r="Z321" s="2"/>
      <c r="AE321" s="2"/>
      <c r="AG321" s="2"/>
      <c r="AH321" s="2"/>
      <c r="AI321" s="2"/>
      <c r="AJ321" s="2"/>
      <c r="AK321" s="2"/>
      <c r="AL321" s="2"/>
      <c r="AO321" s="2"/>
      <c r="AP321" s="2"/>
      <c r="AQ321" s="2"/>
      <c r="AR321" s="2"/>
    </row>
    <row r="322" spans="5:44" s="1" customFormat="1" ht="27">
      <c r="E322" s="2"/>
      <c r="H322" s="5"/>
      <c r="I322" s="9"/>
      <c r="J322" s="9"/>
      <c r="K322" s="6"/>
      <c r="L322" s="6"/>
      <c r="P322" s="2"/>
      <c r="T322" s="2"/>
      <c r="U322" s="2"/>
      <c r="V322" s="2"/>
      <c r="W322" s="172"/>
      <c r="X322" s="172"/>
      <c r="Y322" s="2"/>
      <c r="Z322" s="2"/>
      <c r="AE322" s="2"/>
      <c r="AG322" s="2"/>
      <c r="AH322" s="2"/>
      <c r="AI322" s="2"/>
      <c r="AJ322" s="2"/>
      <c r="AK322" s="2"/>
      <c r="AL322" s="2"/>
      <c r="AO322" s="2"/>
      <c r="AP322" s="2"/>
      <c r="AQ322" s="2"/>
      <c r="AR322" s="2"/>
    </row>
    <row r="323" spans="5:44" s="1" customFormat="1" ht="27">
      <c r="E323" s="2"/>
      <c r="H323" s="5"/>
      <c r="I323" s="9"/>
      <c r="J323" s="9"/>
      <c r="K323" s="6"/>
      <c r="L323" s="6"/>
      <c r="P323" s="2"/>
      <c r="T323" s="2"/>
      <c r="U323" s="2"/>
      <c r="V323" s="2"/>
      <c r="W323" s="172"/>
      <c r="X323" s="172"/>
      <c r="Y323" s="2"/>
      <c r="Z323" s="2"/>
      <c r="AE323" s="2"/>
      <c r="AG323" s="2"/>
      <c r="AH323" s="2"/>
      <c r="AI323" s="2"/>
      <c r="AJ323" s="2"/>
      <c r="AK323" s="2"/>
      <c r="AL323" s="2"/>
      <c r="AO323" s="2"/>
      <c r="AP323" s="2"/>
      <c r="AQ323" s="2"/>
      <c r="AR323" s="2"/>
    </row>
    <row r="324" spans="5:44" s="1" customFormat="1" ht="27">
      <c r="E324" s="2"/>
      <c r="H324" s="5"/>
      <c r="I324" s="9"/>
      <c r="J324" s="9"/>
      <c r="K324" s="6"/>
      <c r="L324" s="6"/>
      <c r="P324" s="2"/>
      <c r="T324" s="2"/>
      <c r="U324" s="2"/>
      <c r="V324" s="2"/>
      <c r="W324" s="172"/>
      <c r="X324" s="172"/>
      <c r="Y324" s="2"/>
      <c r="Z324" s="2"/>
      <c r="AE324" s="2"/>
      <c r="AG324" s="2"/>
      <c r="AH324" s="2"/>
      <c r="AI324" s="2"/>
      <c r="AJ324" s="2"/>
      <c r="AK324" s="2"/>
      <c r="AL324" s="2"/>
      <c r="AO324" s="2"/>
      <c r="AP324" s="2"/>
      <c r="AQ324" s="2"/>
      <c r="AR324" s="2"/>
    </row>
    <row r="325" spans="5:44" s="1" customFormat="1" ht="27">
      <c r="E325" s="2"/>
      <c r="H325" s="5"/>
      <c r="I325" s="9"/>
      <c r="J325" s="9"/>
      <c r="K325" s="6"/>
      <c r="L325" s="6"/>
      <c r="P325" s="2"/>
      <c r="T325" s="2"/>
      <c r="U325" s="2"/>
      <c r="V325" s="2"/>
      <c r="W325" s="172"/>
      <c r="X325" s="172"/>
      <c r="Y325" s="2"/>
      <c r="Z325" s="2"/>
      <c r="AE325" s="2"/>
      <c r="AG325" s="2"/>
      <c r="AH325" s="2"/>
      <c r="AI325" s="2"/>
      <c r="AJ325" s="2"/>
      <c r="AK325" s="2"/>
      <c r="AL325" s="2"/>
      <c r="AO325" s="2"/>
      <c r="AP325" s="2"/>
      <c r="AQ325" s="2"/>
      <c r="AR325" s="2"/>
    </row>
    <row r="326" spans="5:44" s="1" customFormat="1" ht="27">
      <c r="E326" s="2"/>
      <c r="H326" s="5"/>
      <c r="I326" s="9"/>
      <c r="J326" s="9"/>
      <c r="K326" s="6"/>
      <c r="L326" s="6"/>
      <c r="P326" s="2"/>
      <c r="T326" s="2"/>
      <c r="U326" s="2"/>
      <c r="V326" s="2"/>
      <c r="W326" s="172"/>
      <c r="X326" s="172"/>
      <c r="Y326" s="2"/>
      <c r="Z326" s="2"/>
      <c r="AE326" s="2"/>
      <c r="AG326" s="2"/>
      <c r="AH326" s="2"/>
      <c r="AI326" s="2"/>
      <c r="AJ326" s="2"/>
      <c r="AK326" s="2"/>
      <c r="AL326" s="2"/>
      <c r="AO326" s="2"/>
      <c r="AP326" s="2"/>
      <c r="AQ326" s="2"/>
      <c r="AR326" s="2"/>
    </row>
    <row r="327" spans="5:44" s="1" customFormat="1" ht="27">
      <c r="E327" s="2"/>
      <c r="H327" s="5"/>
      <c r="I327" s="9"/>
      <c r="J327" s="9"/>
      <c r="K327" s="6"/>
      <c r="L327" s="6"/>
      <c r="P327" s="2"/>
      <c r="T327" s="2"/>
      <c r="U327" s="2"/>
      <c r="V327" s="2"/>
      <c r="W327" s="172"/>
      <c r="X327" s="172"/>
      <c r="Y327" s="2"/>
      <c r="Z327" s="2"/>
      <c r="AE327" s="2"/>
      <c r="AG327" s="2"/>
      <c r="AH327" s="2"/>
      <c r="AI327" s="2"/>
      <c r="AJ327" s="2"/>
      <c r="AK327" s="2"/>
      <c r="AL327" s="2"/>
      <c r="AO327" s="2"/>
      <c r="AP327" s="2"/>
      <c r="AQ327" s="2"/>
      <c r="AR327" s="2"/>
    </row>
    <row r="328" spans="5:44" s="1" customFormat="1" ht="27">
      <c r="E328" s="2"/>
      <c r="H328" s="5"/>
      <c r="I328" s="9"/>
      <c r="J328" s="9"/>
      <c r="K328" s="6"/>
      <c r="L328" s="6"/>
      <c r="P328" s="2"/>
      <c r="T328" s="2"/>
      <c r="U328" s="2"/>
      <c r="V328" s="2"/>
      <c r="W328" s="172"/>
      <c r="X328" s="172"/>
      <c r="Y328" s="2"/>
      <c r="Z328" s="2"/>
      <c r="AE328" s="2"/>
      <c r="AG328" s="2"/>
      <c r="AH328" s="2"/>
      <c r="AI328" s="2"/>
      <c r="AJ328" s="2"/>
      <c r="AK328" s="2"/>
      <c r="AL328" s="2"/>
      <c r="AO328" s="2"/>
      <c r="AP328" s="2"/>
      <c r="AQ328" s="2"/>
      <c r="AR328" s="2"/>
    </row>
    <row r="329" spans="5:44" s="1" customFormat="1" ht="27">
      <c r="E329" s="2"/>
      <c r="H329" s="5"/>
      <c r="I329" s="9"/>
      <c r="J329" s="9"/>
      <c r="K329" s="6"/>
      <c r="L329" s="6"/>
      <c r="P329" s="2"/>
      <c r="T329" s="2"/>
      <c r="U329" s="2"/>
      <c r="V329" s="2"/>
      <c r="W329" s="172"/>
      <c r="X329" s="172"/>
      <c r="Y329" s="2"/>
      <c r="Z329" s="2"/>
      <c r="AE329" s="2"/>
      <c r="AG329" s="2"/>
      <c r="AH329" s="2"/>
      <c r="AI329" s="2"/>
      <c r="AJ329" s="2"/>
      <c r="AK329" s="2"/>
      <c r="AL329" s="2"/>
      <c r="AO329" s="2"/>
      <c r="AP329" s="2"/>
      <c r="AQ329" s="2"/>
      <c r="AR329" s="2"/>
    </row>
    <row r="330" spans="5:44" s="1" customFormat="1" ht="27">
      <c r="E330" s="2"/>
      <c r="H330" s="5"/>
      <c r="I330" s="9"/>
      <c r="J330" s="9"/>
      <c r="K330" s="6"/>
      <c r="L330" s="6"/>
      <c r="P330" s="2"/>
      <c r="T330" s="2"/>
      <c r="U330" s="2"/>
      <c r="V330" s="2"/>
      <c r="W330" s="172"/>
      <c r="X330" s="172"/>
      <c r="Y330" s="2"/>
      <c r="Z330" s="2"/>
      <c r="AE330" s="2"/>
      <c r="AG330" s="2"/>
      <c r="AH330" s="2"/>
      <c r="AI330" s="2"/>
      <c r="AJ330" s="2"/>
      <c r="AK330" s="2"/>
      <c r="AL330" s="2"/>
      <c r="AO330" s="2"/>
      <c r="AP330" s="2"/>
      <c r="AQ330" s="2"/>
      <c r="AR330" s="2"/>
    </row>
    <row r="331" spans="5:44" s="1" customFormat="1" ht="27">
      <c r="E331" s="2"/>
      <c r="H331" s="5"/>
      <c r="I331" s="9"/>
      <c r="J331" s="9"/>
      <c r="K331" s="6"/>
      <c r="L331" s="6"/>
      <c r="P331" s="2"/>
      <c r="T331" s="2"/>
      <c r="U331" s="2"/>
      <c r="V331" s="2"/>
      <c r="W331" s="172"/>
      <c r="X331" s="172"/>
      <c r="Y331" s="2"/>
      <c r="Z331" s="2"/>
      <c r="AE331" s="2"/>
      <c r="AG331" s="2"/>
      <c r="AH331" s="2"/>
      <c r="AI331" s="2"/>
      <c r="AJ331" s="2"/>
      <c r="AK331" s="2"/>
      <c r="AL331" s="2"/>
      <c r="AO331" s="2"/>
      <c r="AP331" s="2"/>
      <c r="AQ331" s="2"/>
      <c r="AR331" s="2"/>
    </row>
    <row r="332" spans="5:44" s="1" customFormat="1" ht="27">
      <c r="E332" s="2"/>
      <c r="H332" s="5"/>
      <c r="I332" s="9"/>
      <c r="J332" s="9"/>
      <c r="K332" s="6"/>
      <c r="L332" s="6"/>
      <c r="P332" s="2"/>
      <c r="T332" s="2"/>
      <c r="U332" s="2"/>
      <c r="V332" s="2"/>
      <c r="W332" s="172"/>
      <c r="X332" s="172"/>
      <c r="Y332" s="2"/>
      <c r="Z332" s="2"/>
      <c r="AE332" s="2"/>
      <c r="AG332" s="2"/>
      <c r="AH332" s="2"/>
      <c r="AI332" s="2"/>
      <c r="AJ332" s="2"/>
      <c r="AK332" s="2"/>
      <c r="AL332" s="2"/>
      <c r="AO332" s="2"/>
      <c r="AP332" s="2"/>
      <c r="AQ332" s="2"/>
      <c r="AR332" s="2"/>
    </row>
    <row r="333" spans="5:44" s="1" customFormat="1" ht="27">
      <c r="E333" s="2"/>
      <c r="H333" s="5"/>
      <c r="I333" s="9"/>
      <c r="J333" s="9"/>
      <c r="K333" s="6"/>
      <c r="L333" s="6"/>
      <c r="P333" s="2"/>
      <c r="T333" s="2"/>
      <c r="U333" s="2"/>
      <c r="V333" s="2"/>
      <c r="W333" s="172"/>
      <c r="X333" s="172"/>
      <c r="Y333" s="2"/>
      <c r="Z333" s="2"/>
      <c r="AE333" s="2"/>
      <c r="AG333" s="2"/>
      <c r="AH333" s="2"/>
      <c r="AI333" s="2"/>
      <c r="AJ333" s="2"/>
      <c r="AK333" s="2"/>
      <c r="AL333" s="2"/>
      <c r="AO333" s="2"/>
      <c r="AP333" s="2"/>
      <c r="AQ333" s="2"/>
      <c r="AR333" s="2"/>
    </row>
    <row r="334" spans="5:44" s="1" customFormat="1" ht="27">
      <c r="E334" s="2"/>
      <c r="H334" s="5"/>
      <c r="I334" s="9"/>
      <c r="J334" s="9"/>
      <c r="K334" s="6"/>
      <c r="L334" s="6"/>
      <c r="P334" s="2"/>
      <c r="T334" s="2"/>
      <c r="U334" s="2"/>
      <c r="V334" s="2"/>
      <c r="W334" s="172"/>
      <c r="X334" s="172"/>
      <c r="Y334" s="2"/>
      <c r="Z334" s="2"/>
      <c r="AE334" s="2"/>
      <c r="AG334" s="2"/>
      <c r="AH334" s="2"/>
      <c r="AI334" s="2"/>
      <c r="AJ334" s="2"/>
      <c r="AK334" s="2"/>
      <c r="AL334" s="2"/>
      <c r="AO334" s="2"/>
      <c r="AP334" s="2"/>
      <c r="AQ334" s="2"/>
      <c r="AR334" s="2"/>
    </row>
    <row r="335" spans="5:44" s="1" customFormat="1" ht="27">
      <c r="E335" s="2"/>
      <c r="H335" s="5"/>
      <c r="I335" s="9"/>
      <c r="J335" s="9"/>
      <c r="K335" s="6"/>
      <c r="L335" s="6"/>
      <c r="P335" s="2"/>
      <c r="T335" s="2"/>
      <c r="U335" s="2"/>
      <c r="V335" s="2"/>
      <c r="W335" s="172"/>
      <c r="X335" s="172"/>
      <c r="Y335" s="2"/>
      <c r="Z335" s="2"/>
      <c r="AE335" s="2"/>
      <c r="AG335" s="2"/>
      <c r="AH335" s="2"/>
      <c r="AI335" s="2"/>
      <c r="AJ335" s="2"/>
      <c r="AK335" s="2"/>
      <c r="AL335" s="2"/>
      <c r="AO335" s="2"/>
      <c r="AP335" s="2"/>
      <c r="AQ335" s="2"/>
      <c r="AR335" s="2"/>
    </row>
    <row r="336" spans="5:44" s="1" customFormat="1" ht="27">
      <c r="E336" s="2"/>
      <c r="H336" s="5"/>
      <c r="I336" s="9"/>
      <c r="J336" s="9"/>
      <c r="K336" s="6"/>
      <c r="L336" s="6"/>
      <c r="P336" s="2"/>
      <c r="T336" s="2"/>
      <c r="U336" s="2"/>
      <c r="V336" s="2"/>
      <c r="W336" s="172"/>
      <c r="X336" s="172"/>
      <c r="Y336" s="2"/>
      <c r="Z336" s="2"/>
      <c r="AE336" s="2"/>
      <c r="AG336" s="2"/>
      <c r="AH336" s="2"/>
      <c r="AI336" s="2"/>
      <c r="AJ336" s="2"/>
      <c r="AK336" s="2"/>
      <c r="AL336" s="2"/>
      <c r="AO336" s="2"/>
      <c r="AP336" s="2"/>
      <c r="AQ336" s="2"/>
      <c r="AR336" s="2"/>
    </row>
    <row r="337" spans="5:44" s="1" customFormat="1" ht="27">
      <c r="E337" s="2"/>
      <c r="H337" s="5"/>
      <c r="I337" s="9"/>
      <c r="J337" s="9"/>
      <c r="K337" s="6"/>
      <c r="L337" s="6"/>
      <c r="P337" s="2"/>
      <c r="T337" s="2"/>
      <c r="U337" s="2"/>
      <c r="V337" s="2"/>
      <c r="W337" s="172"/>
      <c r="X337" s="172"/>
      <c r="Y337" s="2"/>
      <c r="Z337" s="2"/>
      <c r="AE337" s="2"/>
      <c r="AG337" s="2"/>
      <c r="AH337" s="2"/>
      <c r="AI337" s="2"/>
      <c r="AJ337" s="2"/>
      <c r="AK337" s="2"/>
      <c r="AL337" s="2"/>
      <c r="AO337" s="2"/>
      <c r="AP337" s="2"/>
      <c r="AQ337" s="2"/>
      <c r="AR337" s="2"/>
    </row>
    <row r="338" spans="5:44" s="1" customFormat="1" ht="27">
      <c r="E338" s="2"/>
      <c r="H338" s="5"/>
      <c r="I338" s="9"/>
      <c r="J338" s="9"/>
      <c r="K338" s="6"/>
      <c r="L338" s="6"/>
      <c r="P338" s="2"/>
      <c r="T338" s="2"/>
      <c r="U338" s="2"/>
      <c r="V338" s="2"/>
      <c r="W338" s="172"/>
      <c r="X338" s="172"/>
      <c r="Y338" s="2"/>
      <c r="Z338" s="2"/>
      <c r="AE338" s="2"/>
      <c r="AG338" s="2"/>
      <c r="AH338" s="2"/>
      <c r="AI338" s="2"/>
      <c r="AJ338" s="2"/>
      <c r="AK338" s="2"/>
      <c r="AL338" s="2"/>
      <c r="AO338" s="2"/>
      <c r="AP338" s="2"/>
      <c r="AQ338" s="2"/>
      <c r="AR338" s="2"/>
    </row>
    <row r="339" spans="5:44" s="1" customFormat="1" ht="27">
      <c r="E339" s="2"/>
      <c r="H339" s="5"/>
      <c r="I339" s="9"/>
      <c r="J339" s="9"/>
      <c r="K339" s="6"/>
      <c r="L339" s="6"/>
      <c r="P339" s="2"/>
      <c r="T339" s="2"/>
      <c r="U339" s="2"/>
      <c r="V339" s="2"/>
      <c r="W339" s="172"/>
      <c r="X339" s="172"/>
      <c r="Y339" s="2"/>
      <c r="Z339" s="2"/>
      <c r="AE339" s="2"/>
      <c r="AG339" s="2"/>
      <c r="AH339" s="2"/>
      <c r="AI339" s="2"/>
      <c r="AJ339" s="2"/>
      <c r="AK339" s="2"/>
      <c r="AL339" s="2"/>
      <c r="AO339" s="2"/>
      <c r="AP339" s="2"/>
      <c r="AQ339" s="2"/>
      <c r="AR339" s="2"/>
    </row>
    <row r="340" spans="5:44" s="1" customFormat="1" ht="27">
      <c r="E340" s="2"/>
      <c r="H340" s="5"/>
      <c r="I340" s="9"/>
      <c r="J340" s="9"/>
      <c r="K340" s="6"/>
      <c r="L340" s="6"/>
      <c r="P340" s="2"/>
      <c r="T340" s="2"/>
      <c r="U340" s="2"/>
      <c r="V340" s="2"/>
      <c r="W340" s="172"/>
      <c r="X340" s="172"/>
      <c r="Y340" s="2"/>
      <c r="Z340" s="2"/>
      <c r="AE340" s="2"/>
      <c r="AG340" s="2"/>
      <c r="AH340" s="2"/>
      <c r="AI340" s="2"/>
      <c r="AJ340" s="2"/>
      <c r="AK340" s="2"/>
      <c r="AL340" s="2"/>
      <c r="AO340" s="2"/>
      <c r="AP340" s="2"/>
      <c r="AQ340" s="2"/>
      <c r="AR340" s="2"/>
    </row>
    <row r="341" spans="5:44" s="1" customFormat="1" ht="27">
      <c r="E341" s="2"/>
      <c r="H341" s="5"/>
      <c r="I341" s="9"/>
      <c r="J341" s="9"/>
      <c r="K341" s="6"/>
      <c r="L341" s="6"/>
      <c r="P341" s="2"/>
      <c r="T341" s="2"/>
      <c r="U341" s="2"/>
      <c r="V341" s="2"/>
      <c r="W341" s="172"/>
      <c r="X341" s="172"/>
      <c r="Y341" s="2"/>
      <c r="Z341" s="2"/>
      <c r="AE341" s="2"/>
      <c r="AG341" s="2"/>
      <c r="AH341" s="2"/>
      <c r="AI341" s="2"/>
      <c r="AJ341" s="2"/>
      <c r="AK341" s="2"/>
      <c r="AL341" s="2"/>
      <c r="AO341" s="2"/>
      <c r="AP341" s="2"/>
      <c r="AQ341" s="2"/>
      <c r="AR341" s="2"/>
    </row>
    <row r="342" spans="5:44" s="1" customFormat="1" ht="27">
      <c r="E342" s="2"/>
      <c r="H342" s="5"/>
      <c r="I342" s="9"/>
      <c r="J342" s="9"/>
      <c r="K342" s="6"/>
      <c r="L342" s="6"/>
      <c r="P342" s="2"/>
      <c r="T342" s="2"/>
      <c r="U342" s="2"/>
      <c r="V342" s="2"/>
      <c r="W342" s="172"/>
      <c r="X342" s="172"/>
      <c r="Y342" s="2"/>
      <c r="Z342" s="2"/>
      <c r="AE342" s="2"/>
      <c r="AG342" s="2"/>
      <c r="AH342" s="2"/>
      <c r="AI342" s="2"/>
      <c r="AJ342" s="2"/>
      <c r="AK342" s="2"/>
      <c r="AL342" s="2"/>
      <c r="AO342" s="2"/>
      <c r="AP342" s="2"/>
      <c r="AQ342" s="2"/>
      <c r="AR342" s="2"/>
    </row>
    <row r="343" spans="5:44" s="1" customFormat="1" ht="27">
      <c r="E343" s="2"/>
      <c r="H343" s="5"/>
      <c r="I343" s="9"/>
      <c r="J343" s="9"/>
      <c r="K343" s="6"/>
      <c r="L343" s="6"/>
      <c r="P343" s="2"/>
      <c r="T343" s="2"/>
      <c r="U343" s="2"/>
      <c r="V343" s="2"/>
      <c r="W343" s="172"/>
      <c r="X343" s="172"/>
      <c r="Y343" s="2"/>
      <c r="Z343" s="2"/>
      <c r="AE343" s="2"/>
      <c r="AG343" s="2"/>
      <c r="AH343" s="2"/>
      <c r="AI343" s="2"/>
      <c r="AJ343" s="2"/>
      <c r="AK343" s="2"/>
      <c r="AL343" s="2"/>
      <c r="AO343" s="2"/>
      <c r="AP343" s="2"/>
      <c r="AQ343" s="2"/>
      <c r="AR343" s="2"/>
    </row>
    <row r="344" spans="5:44" s="1" customFormat="1" ht="27">
      <c r="E344" s="2"/>
      <c r="H344" s="5"/>
      <c r="I344" s="9"/>
      <c r="J344" s="9"/>
      <c r="K344" s="6"/>
      <c r="L344" s="6"/>
      <c r="P344" s="2"/>
      <c r="T344" s="2"/>
      <c r="U344" s="2"/>
      <c r="V344" s="2"/>
      <c r="W344" s="172"/>
      <c r="X344" s="172"/>
      <c r="Y344" s="2"/>
      <c r="Z344" s="2"/>
      <c r="AE344" s="2"/>
      <c r="AG344" s="2"/>
      <c r="AH344" s="2"/>
      <c r="AI344" s="2"/>
      <c r="AJ344" s="2"/>
      <c r="AK344" s="2"/>
      <c r="AL344" s="2"/>
      <c r="AO344" s="2"/>
      <c r="AP344" s="2"/>
      <c r="AQ344" s="2"/>
      <c r="AR344" s="2"/>
    </row>
    <row r="345" spans="5:44" s="1" customFormat="1" ht="27">
      <c r="E345" s="2"/>
      <c r="H345" s="5"/>
      <c r="I345" s="9"/>
      <c r="J345" s="9"/>
      <c r="K345" s="6"/>
      <c r="L345" s="6"/>
      <c r="P345" s="2"/>
      <c r="T345" s="2"/>
      <c r="U345" s="2"/>
      <c r="V345" s="2"/>
      <c r="W345" s="172"/>
      <c r="X345" s="172"/>
      <c r="Y345" s="2"/>
      <c r="Z345" s="2"/>
      <c r="AE345" s="2"/>
      <c r="AG345" s="2"/>
      <c r="AH345" s="2"/>
      <c r="AI345" s="2"/>
      <c r="AJ345" s="2"/>
      <c r="AK345" s="2"/>
      <c r="AL345" s="2"/>
      <c r="AO345" s="2"/>
      <c r="AP345" s="2"/>
      <c r="AQ345" s="2"/>
      <c r="AR345" s="2"/>
    </row>
    <row r="346" spans="5:44" s="1" customFormat="1" ht="27">
      <c r="E346" s="2"/>
      <c r="H346" s="5"/>
      <c r="I346" s="9"/>
      <c r="J346" s="9"/>
      <c r="K346" s="6"/>
      <c r="L346" s="6"/>
      <c r="P346" s="2"/>
      <c r="T346" s="2"/>
      <c r="U346" s="2"/>
      <c r="V346" s="2"/>
      <c r="W346" s="172"/>
      <c r="X346" s="172"/>
      <c r="Y346" s="2"/>
      <c r="Z346" s="2"/>
      <c r="AE346" s="2"/>
      <c r="AG346" s="2"/>
      <c r="AH346" s="2"/>
      <c r="AI346" s="2"/>
      <c r="AJ346" s="2"/>
      <c r="AK346" s="2"/>
      <c r="AL346" s="2"/>
      <c r="AO346" s="2"/>
      <c r="AP346" s="2"/>
      <c r="AQ346" s="2"/>
      <c r="AR346" s="2"/>
    </row>
    <row r="347" spans="5:44" s="1" customFormat="1" ht="27">
      <c r="E347" s="2"/>
      <c r="H347" s="5"/>
      <c r="I347" s="9"/>
      <c r="J347" s="9"/>
      <c r="K347" s="6"/>
      <c r="L347" s="6"/>
      <c r="P347" s="2"/>
      <c r="T347" s="2"/>
      <c r="U347" s="2"/>
      <c r="V347" s="2"/>
      <c r="W347" s="172"/>
      <c r="X347" s="172"/>
      <c r="Y347" s="2"/>
      <c r="Z347" s="2"/>
      <c r="AE347" s="2"/>
      <c r="AG347" s="2"/>
      <c r="AH347" s="2"/>
      <c r="AI347" s="2"/>
      <c r="AJ347" s="2"/>
      <c r="AK347" s="2"/>
      <c r="AL347" s="2"/>
      <c r="AO347" s="2"/>
      <c r="AP347" s="2"/>
      <c r="AQ347" s="2"/>
      <c r="AR347" s="2"/>
    </row>
    <row r="348" spans="5:44" s="1" customFormat="1" ht="27">
      <c r="E348" s="2"/>
      <c r="H348" s="5"/>
      <c r="I348" s="9"/>
      <c r="J348" s="9"/>
      <c r="K348" s="6"/>
      <c r="L348" s="6"/>
      <c r="P348" s="2"/>
      <c r="T348" s="2"/>
      <c r="U348" s="2"/>
      <c r="V348" s="2"/>
      <c r="W348" s="172"/>
      <c r="X348" s="172"/>
      <c r="Y348" s="2"/>
      <c r="Z348" s="2"/>
      <c r="AE348" s="2"/>
      <c r="AG348" s="2"/>
      <c r="AH348" s="2"/>
      <c r="AI348" s="2"/>
      <c r="AJ348" s="2"/>
      <c r="AK348" s="2"/>
      <c r="AL348" s="2"/>
      <c r="AO348" s="2"/>
      <c r="AP348" s="2"/>
      <c r="AQ348" s="2"/>
      <c r="AR348" s="2"/>
    </row>
    <row r="349" spans="5:44" s="1" customFormat="1" ht="27">
      <c r="E349" s="2"/>
      <c r="H349" s="5"/>
      <c r="I349" s="9"/>
      <c r="J349" s="9"/>
      <c r="K349" s="6"/>
      <c r="L349" s="6"/>
      <c r="P349" s="2"/>
      <c r="T349" s="2"/>
      <c r="U349" s="2"/>
      <c r="V349" s="2"/>
      <c r="W349" s="172"/>
      <c r="X349" s="172"/>
      <c r="Y349" s="2"/>
      <c r="Z349" s="2"/>
      <c r="AE349" s="2"/>
      <c r="AG349" s="2"/>
      <c r="AH349" s="2"/>
      <c r="AI349" s="2"/>
      <c r="AJ349" s="2"/>
      <c r="AK349" s="2"/>
      <c r="AL349" s="2"/>
      <c r="AO349" s="2"/>
      <c r="AP349" s="2"/>
      <c r="AQ349" s="2"/>
      <c r="AR349" s="2"/>
    </row>
    <row r="350" spans="5:44" s="1" customFormat="1" ht="27">
      <c r="E350" s="2"/>
      <c r="H350" s="5"/>
      <c r="I350" s="9"/>
      <c r="J350" s="9"/>
      <c r="K350" s="6"/>
      <c r="L350" s="6"/>
      <c r="P350" s="2"/>
      <c r="T350" s="2"/>
      <c r="U350" s="2"/>
      <c r="V350" s="2"/>
      <c r="W350" s="172"/>
      <c r="X350" s="172"/>
      <c r="Y350" s="2"/>
      <c r="Z350" s="2"/>
      <c r="AE350" s="2"/>
      <c r="AG350" s="2"/>
      <c r="AH350" s="2"/>
      <c r="AI350" s="2"/>
      <c r="AJ350" s="2"/>
      <c r="AK350" s="2"/>
      <c r="AL350" s="2"/>
      <c r="AO350" s="2"/>
      <c r="AP350" s="2"/>
      <c r="AQ350" s="2"/>
      <c r="AR350" s="2"/>
    </row>
    <row r="351" spans="5:44" s="1" customFormat="1" ht="27">
      <c r="E351" s="2"/>
      <c r="H351" s="5"/>
      <c r="I351" s="9"/>
      <c r="J351" s="9"/>
      <c r="K351" s="6"/>
      <c r="L351" s="6"/>
      <c r="P351" s="2"/>
      <c r="T351" s="2"/>
      <c r="U351" s="2"/>
      <c r="V351" s="2"/>
      <c r="W351" s="172"/>
      <c r="X351" s="172"/>
      <c r="Y351" s="2"/>
      <c r="Z351" s="2"/>
      <c r="AE351" s="2"/>
      <c r="AG351" s="2"/>
      <c r="AH351" s="2"/>
      <c r="AI351" s="2"/>
      <c r="AJ351" s="2"/>
      <c r="AK351" s="2"/>
      <c r="AL351" s="2"/>
      <c r="AO351" s="2"/>
      <c r="AP351" s="2"/>
      <c r="AQ351" s="2"/>
      <c r="AR351" s="2"/>
    </row>
    <row r="352" spans="5:44" s="1" customFormat="1" ht="27">
      <c r="E352" s="2"/>
      <c r="H352" s="5"/>
      <c r="I352" s="9"/>
      <c r="J352" s="9"/>
      <c r="K352" s="6"/>
      <c r="L352" s="6"/>
      <c r="P352" s="2"/>
      <c r="T352" s="2"/>
      <c r="U352" s="2"/>
      <c r="V352" s="2"/>
      <c r="W352" s="172"/>
      <c r="X352" s="172"/>
      <c r="Y352" s="2"/>
      <c r="Z352" s="2"/>
      <c r="AE352" s="2"/>
      <c r="AG352" s="2"/>
      <c r="AH352" s="2"/>
      <c r="AI352" s="2"/>
      <c r="AJ352" s="2"/>
      <c r="AK352" s="2"/>
      <c r="AL352" s="2"/>
      <c r="AO352" s="2"/>
      <c r="AP352" s="2"/>
      <c r="AQ352" s="2"/>
      <c r="AR352" s="2"/>
    </row>
    <row r="353" spans="5:44" s="1" customFormat="1" ht="27">
      <c r="E353" s="2"/>
      <c r="H353" s="5"/>
      <c r="I353" s="9"/>
      <c r="J353" s="9"/>
      <c r="K353" s="6"/>
      <c r="L353" s="6"/>
      <c r="P353" s="2"/>
      <c r="T353" s="2"/>
      <c r="U353" s="2"/>
      <c r="V353" s="2"/>
      <c r="W353" s="172"/>
      <c r="X353" s="172"/>
      <c r="Y353" s="2"/>
      <c r="Z353" s="2"/>
      <c r="AE353" s="2"/>
      <c r="AG353" s="2"/>
      <c r="AH353" s="2"/>
      <c r="AI353" s="2"/>
      <c r="AJ353" s="2"/>
      <c r="AK353" s="2"/>
      <c r="AL353" s="2"/>
      <c r="AO353" s="2"/>
      <c r="AP353" s="2"/>
      <c r="AQ353" s="2"/>
      <c r="AR353" s="2"/>
    </row>
    <row r="354" spans="5:44" s="1" customFormat="1" ht="27">
      <c r="E354" s="2"/>
      <c r="H354" s="5"/>
      <c r="I354" s="9"/>
      <c r="J354" s="9"/>
      <c r="K354" s="6"/>
      <c r="L354" s="6"/>
      <c r="P354" s="2"/>
      <c r="T354" s="2"/>
      <c r="U354" s="2"/>
      <c r="V354" s="2"/>
      <c r="W354" s="172"/>
      <c r="X354" s="172"/>
      <c r="Y354" s="2"/>
      <c r="Z354" s="2"/>
      <c r="AE354" s="2"/>
      <c r="AG354" s="2"/>
      <c r="AH354" s="2"/>
      <c r="AI354" s="2"/>
      <c r="AJ354" s="2"/>
      <c r="AK354" s="2"/>
      <c r="AL354" s="2"/>
      <c r="AO354" s="2"/>
      <c r="AP354" s="2"/>
      <c r="AQ354" s="2"/>
      <c r="AR354" s="2"/>
    </row>
    <row r="355" spans="5:44" s="1" customFormat="1" ht="27">
      <c r="E355" s="2"/>
      <c r="H355" s="5"/>
      <c r="I355" s="9"/>
      <c r="J355" s="9"/>
      <c r="K355" s="6"/>
      <c r="L355" s="6"/>
      <c r="P355" s="2"/>
      <c r="T355" s="2"/>
      <c r="U355" s="2"/>
      <c r="V355" s="2"/>
      <c r="W355" s="172"/>
      <c r="X355" s="172"/>
      <c r="Y355" s="2"/>
      <c r="Z355" s="2"/>
      <c r="AE355" s="2"/>
      <c r="AG355" s="2"/>
      <c r="AH355" s="2"/>
      <c r="AI355" s="2"/>
      <c r="AJ355" s="2"/>
      <c r="AK355" s="2"/>
      <c r="AL355" s="2"/>
      <c r="AO355" s="2"/>
      <c r="AP355" s="2"/>
      <c r="AQ355" s="2"/>
      <c r="AR355" s="2"/>
    </row>
    <row r="356" spans="5:44" s="1" customFormat="1" ht="27">
      <c r="E356" s="2"/>
      <c r="H356" s="5"/>
      <c r="I356" s="9"/>
      <c r="J356" s="9"/>
      <c r="K356" s="6"/>
      <c r="L356" s="6"/>
      <c r="P356" s="2"/>
      <c r="T356" s="2"/>
      <c r="U356" s="2"/>
      <c r="V356" s="2"/>
      <c r="W356" s="172"/>
      <c r="X356" s="172"/>
      <c r="Y356" s="2"/>
      <c r="Z356" s="2"/>
      <c r="AE356" s="2"/>
      <c r="AG356" s="2"/>
      <c r="AH356" s="2"/>
      <c r="AI356" s="2"/>
      <c r="AJ356" s="2"/>
      <c r="AK356" s="2"/>
      <c r="AL356" s="2"/>
      <c r="AO356" s="2"/>
      <c r="AP356" s="2"/>
      <c r="AQ356" s="2"/>
      <c r="AR356" s="2"/>
    </row>
    <row r="357" spans="5:44" s="1" customFormat="1" ht="27">
      <c r="E357" s="2"/>
      <c r="H357" s="5"/>
      <c r="I357" s="9"/>
      <c r="J357" s="9"/>
      <c r="K357" s="6"/>
      <c r="L357" s="6"/>
      <c r="P357" s="2"/>
      <c r="T357" s="2"/>
      <c r="U357" s="2"/>
      <c r="V357" s="2"/>
      <c r="W357" s="172"/>
      <c r="X357" s="172"/>
      <c r="Y357" s="2"/>
      <c r="Z357" s="2"/>
      <c r="AE357" s="2"/>
      <c r="AG357" s="2"/>
      <c r="AH357" s="2"/>
      <c r="AI357" s="2"/>
      <c r="AJ357" s="2"/>
      <c r="AK357" s="2"/>
      <c r="AL357" s="2"/>
      <c r="AO357" s="2"/>
      <c r="AP357" s="2"/>
      <c r="AQ357" s="2"/>
      <c r="AR357" s="2"/>
    </row>
    <row r="358" spans="5:44" s="1" customFormat="1" ht="27">
      <c r="E358" s="2"/>
      <c r="H358" s="5"/>
      <c r="I358" s="9"/>
      <c r="J358" s="9"/>
      <c r="K358" s="6"/>
      <c r="L358" s="6"/>
      <c r="P358" s="2"/>
      <c r="T358" s="2"/>
      <c r="U358" s="2"/>
      <c r="V358" s="2"/>
      <c r="W358" s="172"/>
      <c r="X358" s="172"/>
      <c r="Y358" s="2"/>
      <c r="Z358" s="2"/>
      <c r="AE358" s="2"/>
      <c r="AG358" s="2"/>
      <c r="AH358" s="2"/>
      <c r="AI358" s="2"/>
      <c r="AJ358" s="2"/>
      <c r="AK358" s="2"/>
      <c r="AL358" s="2"/>
      <c r="AO358" s="2"/>
      <c r="AP358" s="2"/>
      <c r="AQ358" s="2"/>
      <c r="AR358" s="2"/>
    </row>
    <row r="359" spans="5:44" s="1" customFormat="1" ht="27">
      <c r="E359" s="2"/>
      <c r="H359" s="5"/>
      <c r="I359" s="9"/>
      <c r="J359" s="9"/>
      <c r="K359" s="6"/>
      <c r="L359" s="6"/>
      <c r="P359" s="2"/>
      <c r="T359" s="2"/>
      <c r="U359" s="2"/>
      <c r="V359" s="2"/>
      <c r="W359" s="172"/>
      <c r="X359" s="172"/>
      <c r="Y359" s="2"/>
      <c r="Z359" s="2"/>
      <c r="AE359" s="2"/>
      <c r="AG359" s="2"/>
      <c r="AH359" s="2"/>
      <c r="AI359" s="2"/>
      <c r="AJ359" s="2"/>
      <c r="AK359" s="2"/>
      <c r="AL359" s="2"/>
      <c r="AO359" s="2"/>
      <c r="AP359" s="2"/>
      <c r="AQ359" s="2"/>
      <c r="AR359" s="2"/>
    </row>
    <row r="360" spans="5:44" s="1" customFormat="1" ht="27">
      <c r="E360" s="2"/>
      <c r="H360" s="5"/>
      <c r="I360" s="9"/>
      <c r="J360" s="9"/>
      <c r="K360" s="6"/>
      <c r="L360" s="6"/>
      <c r="P360" s="2"/>
      <c r="T360" s="2"/>
      <c r="U360" s="2"/>
      <c r="V360" s="2"/>
      <c r="W360" s="172"/>
      <c r="X360" s="172"/>
      <c r="Y360" s="2"/>
      <c r="Z360" s="2"/>
      <c r="AE360" s="2"/>
      <c r="AG360" s="2"/>
      <c r="AH360" s="2"/>
      <c r="AI360" s="2"/>
      <c r="AJ360" s="2"/>
      <c r="AK360" s="2"/>
      <c r="AL360" s="2"/>
      <c r="AO360" s="2"/>
      <c r="AP360" s="2"/>
      <c r="AQ360" s="2"/>
      <c r="AR360" s="2"/>
    </row>
    <row r="361" spans="5:44" s="1" customFormat="1" ht="27">
      <c r="E361" s="2"/>
      <c r="H361" s="5"/>
      <c r="I361" s="9"/>
      <c r="J361" s="9"/>
      <c r="K361" s="6"/>
      <c r="L361" s="6"/>
      <c r="P361" s="2"/>
      <c r="T361" s="2"/>
      <c r="U361" s="2"/>
      <c r="V361" s="2"/>
      <c r="W361" s="172"/>
      <c r="X361" s="172"/>
      <c r="Y361" s="2"/>
      <c r="Z361" s="2"/>
      <c r="AE361" s="2"/>
      <c r="AG361" s="2"/>
      <c r="AH361" s="2"/>
      <c r="AI361" s="2"/>
      <c r="AJ361" s="2"/>
      <c r="AK361" s="2"/>
      <c r="AL361" s="2"/>
      <c r="AO361" s="2"/>
      <c r="AP361" s="2"/>
      <c r="AQ361" s="2"/>
      <c r="AR361" s="2"/>
    </row>
    <row r="362" spans="5:44" s="1" customFormat="1" ht="27">
      <c r="E362" s="2"/>
      <c r="H362" s="5"/>
      <c r="I362" s="9"/>
      <c r="J362" s="9"/>
      <c r="K362" s="6"/>
      <c r="L362" s="6"/>
      <c r="P362" s="2"/>
      <c r="T362" s="2"/>
      <c r="U362" s="2"/>
      <c r="V362" s="2"/>
      <c r="W362" s="172"/>
      <c r="X362" s="172"/>
      <c r="Y362" s="2"/>
      <c r="Z362" s="2"/>
      <c r="AE362" s="2"/>
      <c r="AG362" s="2"/>
      <c r="AH362" s="2"/>
      <c r="AI362" s="2"/>
      <c r="AJ362" s="2"/>
      <c r="AK362" s="2"/>
      <c r="AL362" s="2"/>
      <c r="AO362" s="2"/>
      <c r="AP362" s="2"/>
      <c r="AQ362" s="2"/>
      <c r="AR362" s="2"/>
    </row>
    <row r="363" spans="5:44" s="1" customFormat="1" ht="27">
      <c r="E363" s="2"/>
      <c r="H363" s="5"/>
      <c r="I363" s="9"/>
      <c r="J363" s="9"/>
      <c r="K363" s="6"/>
      <c r="L363" s="6"/>
      <c r="P363" s="2"/>
      <c r="T363" s="2"/>
      <c r="U363" s="2"/>
      <c r="V363" s="2"/>
      <c r="W363" s="172"/>
      <c r="X363" s="172"/>
      <c r="Y363" s="2"/>
      <c r="Z363" s="2"/>
      <c r="AE363" s="2"/>
      <c r="AG363" s="2"/>
      <c r="AH363" s="2"/>
      <c r="AI363" s="2"/>
      <c r="AJ363" s="2"/>
      <c r="AK363" s="2"/>
      <c r="AL363" s="2"/>
      <c r="AO363" s="2"/>
      <c r="AP363" s="2"/>
      <c r="AQ363" s="2"/>
      <c r="AR363" s="2"/>
    </row>
    <row r="364" spans="5:44" s="1" customFormat="1" ht="27">
      <c r="E364" s="2"/>
      <c r="H364" s="5"/>
      <c r="I364" s="9"/>
      <c r="J364" s="9"/>
      <c r="K364" s="6"/>
      <c r="L364" s="6"/>
      <c r="P364" s="2"/>
      <c r="T364" s="2"/>
      <c r="U364" s="2"/>
      <c r="V364" s="2"/>
      <c r="W364" s="172"/>
      <c r="X364" s="172"/>
      <c r="Y364" s="2"/>
      <c r="Z364" s="2"/>
      <c r="AE364" s="2"/>
      <c r="AG364" s="2"/>
      <c r="AH364" s="2"/>
      <c r="AI364" s="2"/>
      <c r="AJ364" s="2"/>
      <c r="AK364" s="2"/>
      <c r="AL364" s="2"/>
      <c r="AO364" s="2"/>
      <c r="AP364" s="2"/>
      <c r="AQ364" s="2"/>
      <c r="AR364" s="2"/>
    </row>
    <row r="365" spans="5:44" s="1" customFormat="1" ht="27">
      <c r="E365" s="2"/>
      <c r="H365" s="5"/>
      <c r="I365" s="9"/>
      <c r="J365" s="9"/>
      <c r="K365" s="6"/>
      <c r="L365" s="6"/>
      <c r="P365" s="2"/>
      <c r="T365" s="2"/>
      <c r="U365" s="2"/>
      <c r="V365" s="2"/>
      <c r="W365" s="172"/>
      <c r="X365" s="172"/>
      <c r="Y365" s="2"/>
      <c r="Z365" s="2"/>
      <c r="AE365" s="2"/>
      <c r="AG365" s="2"/>
      <c r="AH365" s="2"/>
      <c r="AI365" s="2"/>
      <c r="AJ365" s="2"/>
      <c r="AK365" s="2"/>
      <c r="AL365" s="2"/>
      <c r="AO365" s="2"/>
      <c r="AP365" s="2"/>
      <c r="AQ365" s="2"/>
      <c r="AR365" s="2"/>
    </row>
    <row r="366" spans="5:44" s="1" customFormat="1" ht="27">
      <c r="E366" s="2"/>
      <c r="H366" s="5"/>
      <c r="I366" s="9"/>
      <c r="J366" s="9"/>
      <c r="K366" s="6"/>
      <c r="L366" s="6"/>
      <c r="P366" s="2"/>
      <c r="T366" s="2"/>
      <c r="U366" s="2"/>
      <c r="V366" s="2"/>
      <c r="W366" s="172"/>
      <c r="X366" s="172"/>
      <c r="Y366" s="2"/>
      <c r="Z366" s="2"/>
      <c r="AE366" s="2"/>
      <c r="AG366" s="2"/>
      <c r="AH366" s="2"/>
      <c r="AI366" s="2"/>
      <c r="AJ366" s="2"/>
      <c r="AK366" s="2"/>
      <c r="AL366" s="2"/>
      <c r="AO366" s="2"/>
      <c r="AP366" s="2"/>
      <c r="AQ366" s="2"/>
      <c r="AR366" s="2"/>
    </row>
    <row r="367" spans="5:44" s="1" customFormat="1" ht="27">
      <c r="E367" s="2"/>
      <c r="H367" s="5"/>
      <c r="I367" s="9"/>
      <c r="J367" s="9"/>
      <c r="K367" s="6"/>
      <c r="L367" s="6"/>
      <c r="P367" s="2"/>
      <c r="T367" s="2"/>
      <c r="U367" s="2"/>
      <c r="V367" s="2"/>
      <c r="W367" s="172"/>
      <c r="X367" s="172"/>
      <c r="Y367" s="2"/>
      <c r="Z367" s="2"/>
      <c r="AE367" s="2"/>
      <c r="AG367" s="2"/>
      <c r="AH367" s="2"/>
      <c r="AI367" s="2"/>
      <c r="AJ367" s="2"/>
      <c r="AK367" s="2"/>
      <c r="AL367" s="2"/>
      <c r="AO367" s="2"/>
      <c r="AP367" s="2"/>
      <c r="AQ367" s="2"/>
      <c r="AR367" s="2"/>
    </row>
    <row r="368" spans="5:44" s="1" customFormat="1" ht="27">
      <c r="E368" s="2"/>
      <c r="H368" s="5"/>
      <c r="I368" s="9"/>
      <c r="J368" s="9"/>
      <c r="K368" s="6"/>
      <c r="L368" s="6"/>
      <c r="P368" s="2"/>
      <c r="T368" s="2"/>
      <c r="U368" s="2"/>
      <c r="V368" s="2"/>
      <c r="W368" s="172"/>
      <c r="X368" s="172"/>
      <c r="Y368" s="2"/>
      <c r="Z368" s="2"/>
      <c r="AE368" s="2"/>
      <c r="AG368" s="2"/>
      <c r="AH368" s="2"/>
      <c r="AI368" s="2"/>
      <c r="AJ368" s="2"/>
      <c r="AK368" s="2"/>
      <c r="AL368" s="2"/>
      <c r="AO368" s="2"/>
      <c r="AP368" s="2"/>
      <c r="AQ368" s="2"/>
      <c r="AR368" s="2"/>
    </row>
    <row r="369" spans="5:44" s="1" customFormat="1" ht="27">
      <c r="E369" s="2"/>
      <c r="F369" s="7"/>
      <c r="G369" s="7"/>
      <c r="H369" s="5"/>
      <c r="I369" s="9"/>
      <c r="J369" s="9"/>
      <c r="K369" s="6"/>
      <c r="L369" s="6"/>
      <c r="P369" s="2"/>
      <c r="T369" s="2"/>
      <c r="U369" s="2"/>
      <c r="V369" s="2"/>
      <c r="W369" s="172"/>
      <c r="X369" s="172"/>
      <c r="Y369" s="2"/>
      <c r="Z369" s="2"/>
      <c r="AE369" s="2"/>
      <c r="AG369" s="2"/>
      <c r="AH369" s="2"/>
      <c r="AI369" s="2"/>
      <c r="AJ369" s="2"/>
      <c r="AK369" s="2"/>
      <c r="AL369" s="2"/>
      <c r="AO369" s="2"/>
      <c r="AP369" s="2"/>
      <c r="AQ369" s="2"/>
      <c r="AR369" s="2"/>
    </row>
    <row r="370" spans="5:44" s="1" customFormat="1" ht="27">
      <c r="E370" s="2"/>
      <c r="F370" s="7"/>
      <c r="G370" s="7"/>
      <c r="H370" s="5"/>
      <c r="I370" s="9"/>
      <c r="J370" s="9"/>
      <c r="K370" s="6"/>
      <c r="L370" s="6"/>
      <c r="P370" s="2"/>
      <c r="T370" s="2"/>
      <c r="U370" s="2"/>
      <c r="V370" s="2"/>
      <c r="W370" s="172"/>
      <c r="X370" s="172"/>
      <c r="Y370" s="2"/>
      <c r="Z370" s="2"/>
      <c r="AE370" s="2"/>
      <c r="AG370" s="2"/>
      <c r="AH370" s="2"/>
      <c r="AI370" s="2"/>
      <c r="AJ370" s="2"/>
      <c r="AK370" s="2"/>
      <c r="AL370" s="2"/>
      <c r="AO370" s="2"/>
      <c r="AP370" s="2"/>
      <c r="AQ370" s="2"/>
      <c r="AR370" s="2"/>
    </row>
  </sheetData>
  <mergeCells count="4">
    <mergeCell ref="H49:H52"/>
    <mergeCell ref="H53:H67"/>
    <mergeCell ref="H68:H74"/>
    <mergeCell ref="H75:H87"/>
  </mergeCells>
  <printOptions/>
  <pageMargins left="0.29" right="0.24" top="0.6" bottom="0.48" header="0.4921259845" footer="0.23"/>
  <pageSetup fitToHeight="2" fitToWidth="1" horizontalDpi="600" verticalDpi="600" orientation="portrait" paperSize="9" scale="20" r:id="rId3"/>
  <rowBreaks count="1" manualBreakCount="1">
    <brk id="66" min="6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L9" sqref="L9"/>
    </sheetView>
  </sheetViews>
  <sheetFormatPr defaultColWidth="11.421875" defaultRowHeight="12.75"/>
  <cols>
    <col min="5" max="5" width="13.421875" style="0" customWidth="1"/>
  </cols>
  <sheetData>
    <row r="1" spans="1:6" ht="12.75">
      <c r="A1" t="str">
        <f>+'Recherche passées et présentes '!F49</f>
        <v>A1  </v>
      </c>
      <c r="B1" t="str">
        <f>+'Recherche passées et présentes '!G49</f>
        <v>pression sur la ressource dans le bassin du Rhône</v>
      </c>
      <c r="C1">
        <f>+'Recherche passées et présentes '!C49</f>
        <v>2004</v>
      </c>
      <c r="D1">
        <f>+'Recherche passées et présentes '!D49</f>
        <v>2010</v>
      </c>
      <c r="E1" t="str">
        <f>+'Recherche passées et présentes '!K49</f>
        <v>Jean Paul  Bravard, UMR 5600</v>
      </c>
      <c r="F1" t="s">
        <v>19</v>
      </c>
    </row>
    <row r="2" spans="1:5" ht="12.75">
      <c r="A2" t="str">
        <f>+'Recherche passées et présentes '!F50</f>
        <v>A2</v>
      </c>
      <c r="B2" t="str">
        <f>+'Recherche passées et présentes '!G50</f>
        <v>La gestion muticritère des corridors fluviaux de l'Arc alpin</v>
      </c>
      <c r="C2">
        <f>+'Recherche passées et présentes '!C50</f>
        <v>2003</v>
      </c>
      <c r="D2">
        <f>+'Recherche passées et présentes '!D50</f>
        <v>2006</v>
      </c>
      <c r="E2" t="str">
        <f>+'Recherche passées et présentes '!K50</f>
        <v>Jean Paul Bravard, UMR 5600</v>
      </c>
    </row>
    <row r="3" spans="1:5" ht="12.75">
      <c r="A3" t="str">
        <f>+'Recherche passées et présentes '!F51</f>
        <v>A 10</v>
      </c>
      <c r="B3" t="str">
        <f>+'Recherche passées et présentes '!G51</f>
        <v>Suivi Drône et GPS </v>
      </c>
      <c r="C3">
        <f>+'Recherche passées et présentes '!C51</f>
        <v>0</v>
      </c>
      <c r="D3">
        <f>+'Recherche passées et présentes '!D51</f>
        <v>0</v>
      </c>
      <c r="E3" t="str">
        <f>+'Recherche passées et présentes '!K51</f>
        <v>H Piegay</v>
      </c>
    </row>
    <row r="4" spans="1:5" ht="12.75">
      <c r="A4" t="str">
        <f>+'Recherche passées et présentes '!F52</f>
        <v>A 12</v>
      </c>
      <c r="B4" t="str">
        <f>+'Recherche passées et présentes '!G52</f>
        <v>Traits biologiques</v>
      </c>
      <c r="C4">
        <f>+'Recherche passées et présentes '!C52</f>
        <v>2006</v>
      </c>
      <c r="D4">
        <f>+'Recherche passées et présentes '!D52</f>
        <v>2010</v>
      </c>
      <c r="E4" t="str">
        <f>+'Recherche passées et présentes '!K52</f>
        <v>Sylvain  Doledec, UMR 5023</v>
      </c>
    </row>
    <row r="5" spans="1:5" ht="12.75">
      <c r="A5" t="str">
        <f>+'Recherche passées et présentes '!F53</f>
        <v>B1</v>
      </c>
      <c r="B5" t="str">
        <f>+'Recherche passées et présentes '!G53</f>
        <v>Modifications anthropiques des flux sédimentaires des cours d'eau, réponses des écosystèmes aquatiques et actions de restauration</v>
      </c>
      <c r="C5">
        <f>+'Recherche passées et présentes '!C53</f>
        <v>2003</v>
      </c>
      <c r="D5">
        <f>+'Recherche passées et présentes '!D53</f>
        <v>2006</v>
      </c>
      <c r="E5" t="str">
        <f>+'Recherche passées et présentes '!K53</f>
        <v>Hervé Piegay, UMR 5600</v>
      </c>
    </row>
    <row r="6" spans="1:5" ht="12.75">
      <c r="A6" t="str">
        <f>+'Recherche passées et présentes '!F54</f>
        <v>B2</v>
      </c>
      <c r="B6" t="str">
        <f>+'Recherche passées et présentes '!G54</f>
        <v>Impacts des eaux pluviales sur les grands lacs alpins</v>
      </c>
      <c r="C6">
        <f>+'Recherche passées et présentes '!C54</f>
        <v>2006</v>
      </c>
      <c r="D6">
        <f>+'Recherche passées et présentes '!D54</f>
        <v>2007</v>
      </c>
      <c r="E6" t="str">
        <f>+'Recherche passées et présentes '!K54</f>
        <v>Thierry Winiarski, ENTPE</v>
      </c>
    </row>
    <row r="7" spans="1:5" ht="12.75">
      <c r="A7" t="str">
        <f>+'Recherche passées et présentes '!F55</f>
        <v>B4</v>
      </c>
      <c r="B7" t="str">
        <f>+'Recherche passées et présentes '!G55</f>
        <v>Connaissance des flux sédimentaires en lit mineur et incidence sur la gestion des flux d'eau : la vallée de la Drôme</v>
      </c>
      <c r="C7">
        <f>+'Recherche passées et présentes '!C55</f>
        <v>2003</v>
      </c>
      <c r="D7">
        <f>+'Recherche passées et présentes '!D55</f>
        <v>2005</v>
      </c>
      <c r="E7" t="str">
        <f>+'Recherche passées et présentes '!K55</f>
        <v>Norbert Landon, UMR 5600</v>
      </c>
    </row>
    <row r="8" spans="1:5" ht="12.75">
      <c r="A8" t="str">
        <f>+'Recherche passées et présentes '!F56</f>
        <v>B6</v>
      </c>
      <c r="B8" t="str">
        <f>+'Recherche passées et présentes '!G56</f>
        <v>Etude des micropolluants - relations avec la dynamique des populations de loutres</v>
      </c>
      <c r="C8">
        <f>+'Recherche passées et présentes '!C56</f>
        <v>2002</v>
      </c>
      <c r="D8">
        <f>+'Recherche passées et présentes '!D56</f>
        <v>2006</v>
      </c>
      <c r="E8" t="str">
        <f>+'Recherche passées et présentes '!K56</f>
        <v>Gérard Keck, EVL</v>
      </c>
    </row>
    <row r="9" spans="1:5" ht="12.75">
      <c r="A9" t="str">
        <f>+'Recherche passées et présentes '!F57</f>
        <v>B7</v>
      </c>
      <c r="B9" t="str">
        <f>+'Recherche passées et présentes '!G57</f>
        <v>gouvernance de l'eau en question</v>
      </c>
      <c r="C9">
        <f>+'Recherche passées et présentes '!C57</f>
        <v>2002</v>
      </c>
      <c r="D9">
        <f>+'Recherche passées et présentes '!D57</f>
        <v>2006</v>
      </c>
      <c r="E9" t="str">
        <f>+'Recherche passées et présentes '!K57</f>
        <v>Sophie Alain, ENGREF</v>
      </c>
    </row>
    <row r="10" spans="1:5" ht="12.75">
      <c r="A10" t="str">
        <f>+'Recherche passées et présentes '!F58</f>
        <v>B9</v>
      </c>
      <c r="B10" t="str">
        <f>+'Recherche passées et présentes '!G58</f>
        <v>conservation des habitats crées par la dynamique de la rivière d'Ain</v>
      </c>
      <c r="C10">
        <f>+'Recherche passées et présentes '!C58</f>
        <v>2003</v>
      </c>
      <c r="D10">
        <f>+'Recherche passées et présentes '!D58</f>
        <v>2005</v>
      </c>
      <c r="E10" t="str">
        <f>+'Recherche passées et présentes '!K58</f>
        <v>Jean François Perrin, Cemagref</v>
      </c>
    </row>
    <row r="11" spans="1:5" ht="12.75">
      <c r="A11" t="str">
        <f>+'Recherche passées et présentes '!F59</f>
        <v>B10</v>
      </c>
      <c r="B11" t="str">
        <f>+'Recherche passées et présentes '!G59</f>
        <v>Evaluation de gains biologoqies et écologique associés à une réduction d'intrans polluants en milieu aquatique</v>
      </c>
      <c r="C11">
        <f>+'Recherche passées et présentes '!C59</f>
        <v>2003</v>
      </c>
      <c r="D11">
        <f>+'Recherche passées et présentes '!D59</f>
        <v>2006</v>
      </c>
      <c r="E11" t="str">
        <f>+'Recherche passées et présentes '!K59</f>
        <v>Bernard Montuelle, Cemagref</v>
      </c>
    </row>
    <row r="12" spans="1:5" ht="12.75">
      <c r="A12" t="str">
        <f>+'Recherche passées et présentes '!F60</f>
        <v>projet en lien ZABR</v>
      </c>
      <c r="B12" t="str">
        <f>+'Recherche passées et présentes '!G60</f>
        <v>Programme Ecoger Papier 2005-2008</v>
      </c>
      <c r="C12">
        <f>+'Recherche passées et présentes '!C60</f>
        <v>0</v>
      </c>
      <c r="D12">
        <f>+'Recherche passées et présentes '!D60</f>
        <v>0</v>
      </c>
      <c r="E12" t="str">
        <f>+'Recherche passées et présentes '!K60</f>
        <v>Bernard Montuelle, Cemagref</v>
      </c>
    </row>
    <row r="13" spans="1:5" ht="12.75">
      <c r="A13" t="str">
        <f>+'Recherche passées et présentes '!F61</f>
        <v>projet en lien ZABR</v>
      </c>
      <c r="B13" t="str">
        <f>+'Recherche passées et présentes '!G61</f>
        <v>Programme Ecco PADYMA 2006-2008</v>
      </c>
      <c r="C13">
        <f>+'Recherche passées et présentes '!C61</f>
        <v>0</v>
      </c>
      <c r="D13">
        <f>+'Recherche passées et présentes '!D61</f>
        <v>0</v>
      </c>
      <c r="E13" t="str">
        <f>+'Recherche passées et présentes '!K61</f>
        <v>Bernard Montuelle, Cemagref</v>
      </c>
    </row>
    <row r="14" spans="1:5" ht="12.75">
      <c r="A14" t="str">
        <f>+'Recherche passées et présentes '!F62</f>
        <v>projet en lien ZABR</v>
      </c>
      <c r="B14" t="str">
        <f>+'Recherche passées et présentes '!G62</f>
        <v>Programmes AMPERES - ANR Precod 2006-2008</v>
      </c>
      <c r="C14">
        <f>+'Recherche passées et présentes '!C62</f>
        <v>0</v>
      </c>
      <c r="D14">
        <f>+'Recherche passées et présentes '!D62</f>
        <v>0</v>
      </c>
      <c r="E14">
        <f>+'Recherche passées et présentes '!K62</f>
        <v>0</v>
      </c>
    </row>
    <row r="15" spans="1:5" ht="12.75">
      <c r="A15" t="str">
        <f>+'Recherche passées et présentes '!F63</f>
        <v>projet en lien ZABR</v>
      </c>
      <c r="B15" t="str">
        <f>+'Recherche passées et présentes '!G63</f>
        <v>Programme InBioprocess - ANR Biodiversité</v>
      </c>
      <c r="C15">
        <f>+'Recherche passées et présentes '!C63</f>
        <v>0</v>
      </c>
      <c r="D15">
        <f>+'Recherche passées et présentes '!D63</f>
        <v>0</v>
      </c>
      <c r="E15">
        <f>+'Recherche passées et présentes '!K63</f>
        <v>0</v>
      </c>
    </row>
    <row r="16" spans="1:5" ht="12.75">
      <c r="A16" t="str">
        <f>+'Recherche passées et présentes '!F64</f>
        <v>projet en lien ZABR</v>
      </c>
      <c r="B16" t="str">
        <f>+'Recherche passées et présentes '!G64</f>
        <v>Convention ONF, CCVD CD SMRD</v>
      </c>
      <c r="C16">
        <f>+'Recherche passées et présentes '!C64</f>
        <v>0</v>
      </c>
      <c r="D16">
        <f>+'Recherche passées et présentes '!D64</f>
        <v>0</v>
      </c>
      <c r="E16" t="str">
        <f>+'Recherche passées et présentes '!K64</f>
        <v>Norbert Landon, UMR 5600</v>
      </c>
    </row>
    <row r="17" spans="1:5" ht="12.75">
      <c r="A17" t="str">
        <f>+'Recherche passées et présentes '!F65</f>
        <v>projet en lien ZABR</v>
      </c>
      <c r="B17" t="str">
        <f>+'Recherche passées et présentes '!G65</f>
        <v>Programme InBioprocess - ANR Biodiversité Drôme</v>
      </c>
      <c r="C17">
        <f>+'Recherche passées et présentes '!C65</f>
        <v>0</v>
      </c>
      <c r="D17">
        <f>+'Recherche passées et présentes '!D65</f>
        <v>0</v>
      </c>
      <c r="E17" t="str">
        <f>+'Recherche passées et présentes '!K65</f>
        <v>Janine Gibert, UMR 5023</v>
      </c>
    </row>
    <row r="18" spans="1:5" ht="12.75">
      <c r="A18" t="str">
        <f>+'Recherche passées et présentes '!F66</f>
        <v>projet en lien ZABR</v>
      </c>
      <c r="B18" t="str">
        <f>+'Recherche passées et présentes '!G66</f>
        <v>IWRnet </v>
      </c>
      <c r="C18">
        <f>+'Recherche passées et présentes '!C66</f>
        <v>0</v>
      </c>
      <c r="D18">
        <f>+'Recherche passées et présentes '!D66</f>
        <v>0</v>
      </c>
      <c r="E18">
        <f>+'Recherche passées et présentes '!K66</f>
        <v>0</v>
      </c>
    </row>
    <row r="19" spans="1:5" ht="12.75">
      <c r="A19" t="str">
        <f>+'Recherche passées et présentes '!F67</f>
        <v>projet en lien ZABR</v>
      </c>
      <c r="B19" t="str">
        <f>+'Recherche passées et présentes '!G67</f>
        <v>Variflux</v>
      </c>
      <c r="C19">
        <f>+'Recherche passées et présentes '!C67</f>
        <v>0</v>
      </c>
      <c r="D19">
        <f>+'Recherche passées et présentes '!D67</f>
        <v>0</v>
      </c>
      <c r="E19" t="str">
        <f>+'Recherche passées et présentes '!K67</f>
        <v>Julien Nemery, LTHE</v>
      </c>
    </row>
    <row r="20" spans="1:5" ht="12.75">
      <c r="A20" t="str">
        <f>+'Recherche passées et présentes '!F68</f>
        <v>C2</v>
      </c>
      <c r="B20" t="str">
        <f>+'Recherche passées et présentes '!G68</f>
        <v>Suivi scientifique du Programme décennal - analyse socio ethnologique</v>
      </c>
      <c r="C20">
        <f>+'Recherche passées et présentes '!C68</f>
        <v>2004</v>
      </c>
      <c r="D20">
        <f>+'Recherche passées et présentes '!D68</f>
        <v>2008</v>
      </c>
      <c r="E20" t="str">
        <f>+'Recherche passées et présentes '!K68</f>
        <v>André Vincent, MDFR</v>
      </c>
    </row>
    <row r="21" spans="1:5" ht="12.75">
      <c r="A21" t="str">
        <f>+'Recherche passées et présentes '!F69</f>
        <v>C4</v>
      </c>
      <c r="B21" t="str">
        <f>+'Recherche passées et présentes '!G69</f>
        <v>Analyse sociologique du parcours d'une action publique environnementale..RCC Montélimar et Donzère Mondragon</v>
      </c>
      <c r="C21">
        <f>+'Recherche passées et présentes '!C69</f>
        <v>2004</v>
      </c>
      <c r="D21">
        <f>+'Recherche passées et présentes '!D69</f>
        <v>2006</v>
      </c>
      <c r="E21" t="str">
        <f>+'Recherche passées et présentes '!K69</f>
        <v>Yves Souchon, Cemagref</v>
      </c>
    </row>
    <row r="22" spans="1:5" ht="12.75">
      <c r="A22" t="str">
        <f>+'Recherche passées et présentes '!F70</f>
        <v>C5</v>
      </c>
      <c r="B22" t="str">
        <f>+'Recherche passées et présentes '!G70</f>
        <v>Scénarios de gestion de matériaux de dragage du cours d'eau : Rôle de la microflore dans le devenir des polluants</v>
      </c>
      <c r="C22">
        <f>+'Recherche passées et présentes '!C70</f>
        <v>2004</v>
      </c>
      <c r="D22">
        <f>+'Recherche passées et présentes '!D70</f>
        <v>2007</v>
      </c>
      <c r="E22" t="str">
        <f>+'Recherche passées et présentes '!K70</f>
        <v>Jean Philippe Bedell, ENTPE</v>
      </c>
    </row>
    <row r="23" spans="1:5" ht="12.75">
      <c r="A23" t="str">
        <f>+'Recherche passées et présentes '!F71</f>
        <v>C6</v>
      </c>
      <c r="B23" t="str">
        <f>+'Recherche passées et présentes '!G71</f>
        <v>Etude d'impact pour la mise en navigabilité du Haut Rhône</v>
      </c>
      <c r="C23">
        <f>+'Recherche passées et présentes '!C71</f>
        <v>2004</v>
      </c>
      <c r="D23">
        <f>+'Recherche passées et présentes '!D71</f>
        <v>2005</v>
      </c>
      <c r="E23" t="str">
        <f>+'Recherche passées et présentes '!K71</f>
        <v>Jean Paul Bravard UMR 5600 - André Vincent, MDFR - Jean Michel Olivier, UMR 5023</v>
      </c>
    </row>
    <row r="24" spans="1:5" ht="12.75">
      <c r="A24" t="str">
        <f>+'Recherche passées et présentes '!F72</f>
        <v>C7</v>
      </c>
      <c r="B24" t="str">
        <f>+'Recherche passées et présentes '!G72</f>
        <v>Etude et analyse du fonctionnement biologique et trophique de la Saône dans le territoire du Grand Lyon</v>
      </c>
      <c r="C24">
        <f>+'Recherche passées et présentes '!C72</f>
        <v>2006</v>
      </c>
      <c r="D24">
        <f>+'Recherche passées et présentes '!D72</f>
        <v>2007</v>
      </c>
      <c r="E24" t="str">
        <f>+'Recherche passées et présentes '!K72</f>
        <v>Henri Persat, UMR 5023</v>
      </c>
    </row>
    <row r="25" spans="1:5" ht="12.75">
      <c r="A25" t="str">
        <f>+'Recherche passées et présentes '!F73</f>
        <v>C9</v>
      </c>
      <c r="B25" t="str">
        <f>+'Recherche passées et présentes '!G73</f>
        <v>Caractérisation sédimentologique, géophysique et géochimique des sédiments du Rhône - casiers</v>
      </c>
      <c r="C25">
        <f>+'Recherche passées et présentes '!C73</f>
        <v>2006</v>
      </c>
      <c r="D25">
        <f>+'Recherche passées et présentes '!D73</f>
        <v>2007</v>
      </c>
      <c r="E25" t="str">
        <f>+'Recherche passées et présentes '!K73</f>
        <v>Jean Paul Bravard UMR 5600</v>
      </c>
    </row>
    <row r="26" spans="1:5" ht="12.75">
      <c r="A26" t="str">
        <f>+'Recherche passées et présentes '!F74</f>
        <v>C13</v>
      </c>
      <c r="B26" t="str">
        <f>+'Recherche passées et présentes '!G74</f>
        <v>Atlas des Zones inondables</v>
      </c>
      <c r="C26">
        <f>+'Recherche passées et présentes '!C74</f>
        <v>2006</v>
      </c>
      <c r="D26">
        <f>+'Recherche passées et présentes '!D74</f>
        <v>39142</v>
      </c>
      <c r="E26" t="str">
        <f>+'Recherche passées et présentes '!K74</f>
        <v>Jean Paul Bravard UMR 5600</v>
      </c>
    </row>
    <row r="27" spans="1:5" ht="12.75">
      <c r="A27" t="str">
        <f>+'Recherche passées et présentes '!F75</f>
        <v>D1</v>
      </c>
      <c r="B27" t="str">
        <f>+'Recherche passées et présentes '!G75</f>
        <v>Connaissance et modélisation des flux hydrauliques et polluants produits par les BV urbanisés</v>
      </c>
      <c r="C27">
        <f>+'Recherche passées et présentes '!C75</f>
        <v>2000</v>
      </c>
      <c r="D27">
        <f>+'Recherche passées et présentes '!D75</f>
        <v>2003</v>
      </c>
      <c r="E27" t="str">
        <f>+'Recherche passées et présentes '!K75</f>
        <v>Jean Luc Bertrand Krajewski, INSA</v>
      </c>
    </row>
    <row r="28" spans="1:5" ht="12.75">
      <c r="A28" t="str">
        <f>+'Recherche passées et présentes '!F76</f>
        <v>D2</v>
      </c>
      <c r="B28" t="str">
        <f>+'Recherche passées et présentes '!G76</f>
        <v>Risque d'inondation par ruissellement urbain : application au cas de l'agglomération lyonnaise</v>
      </c>
      <c r="C28">
        <f>+'Recherche passées et présentes '!C76</f>
        <v>2003</v>
      </c>
      <c r="D28">
        <f>+'Recherche passées et présentes '!D76</f>
        <v>2006</v>
      </c>
      <c r="E28" t="str">
        <f>+'Recherche passées et présentes '!K76</f>
        <v>Marcel Leroux, UMR 5600</v>
      </c>
    </row>
    <row r="29" spans="1:5" ht="12.75">
      <c r="A29" t="str">
        <f>+'Recherche passées et présentes '!F77</f>
        <v>D3</v>
      </c>
      <c r="B29" t="str">
        <f>+'Recherche passées et présentes '!G77</f>
        <v>Système d'évaluation intégré dans ouvrages infiltration</v>
      </c>
      <c r="C29">
        <f>+'Recherche passées et présentes '!C77</f>
        <v>2003</v>
      </c>
      <c r="D29">
        <f>+'Recherche passées et présentes '!D77</f>
        <v>2007</v>
      </c>
      <c r="E29" t="str">
        <f>+'Recherche passées et présentes '!K77</f>
        <v>Yves Perrodin, ENTPE</v>
      </c>
    </row>
    <row r="30" spans="1:5" ht="12.75">
      <c r="A30" t="str">
        <f>+'Recherche passées et présentes '!F78</f>
        <v>D4</v>
      </c>
      <c r="B30" t="str">
        <f>+'Recherche passées et présentes '!G78</f>
        <v>Fiche 14 : gestion des rivières périurbaines</v>
      </c>
      <c r="C30">
        <f>+'Recherche passées et présentes '!C78</f>
        <v>2006</v>
      </c>
      <c r="D30">
        <f>+'Recherche passées et présentes '!D78</f>
        <v>2007</v>
      </c>
      <c r="E30" t="str">
        <f>+'Recherche passées et présentes '!K78</f>
        <v>Pascal Breil, Cemagref</v>
      </c>
    </row>
    <row r="31" spans="1:5" ht="12.75">
      <c r="A31" t="str">
        <f>+'Recherche passées et présentes '!F79</f>
        <v>D5</v>
      </c>
      <c r="B31" t="str">
        <f>+'Recherche passées et présentes '!G79</f>
        <v>Fiche 17 : Elaboration d'une stratégie durable de gestion des eaux pluviales urbaines</v>
      </c>
      <c r="C31">
        <f>+'Recherche passées et présentes '!C79</f>
        <v>2003</v>
      </c>
      <c r="D31">
        <f>+'Recherche passées et présentes '!D79</f>
        <v>2005</v>
      </c>
      <c r="E31" t="str">
        <f>+'Recherche passées et présentes '!K79</f>
        <v>Bernard Chocat, INSA</v>
      </c>
    </row>
    <row r="32" spans="1:5" ht="12.75">
      <c r="A32" t="str">
        <f>+'Recherche passées et présentes '!F80</f>
        <v>D6</v>
      </c>
      <c r="B32" t="str">
        <f>+'Recherche passées et présentes '!G80</f>
        <v>Fiche 8 : villes du Rhône : Aménagement du fleuve et espace alluvial : Sig historique</v>
      </c>
      <c r="C32">
        <f>+'Recherche passées et présentes '!C80</f>
        <v>2002</v>
      </c>
      <c r="D32">
        <f>+'Recherche passées et présentes '!D80</f>
        <v>2006</v>
      </c>
      <c r="E32" t="str">
        <f>+'Recherche passées et présentes '!K80</f>
        <v>Thierry Joliveau, UMR 5600</v>
      </c>
    </row>
    <row r="33" spans="1:5" ht="12.75">
      <c r="A33" t="str">
        <f>+'Recherche passées et présentes '!F81</f>
        <v>D7</v>
      </c>
      <c r="B33" t="str">
        <f>+'Recherche passées et présentes '!G81</f>
        <v>Evaluation du potentiel écologique dans une rivière urbaine fortement modifiée</v>
      </c>
      <c r="C33">
        <f>+'Recherche passées et présentes '!C81</f>
        <v>2008</v>
      </c>
      <c r="D33">
        <f>+'Recherche passées et présentes '!D81</f>
        <v>2010</v>
      </c>
      <c r="E33" t="str">
        <f>+'Recherche passées et présentes '!K81</f>
        <v>Pascal Breil, Cemagref</v>
      </c>
    </row>
    <row r="34" spans="1:5" ht="12.75">
      <c r="A34" t="str">
        <f>+'Recherche passées et présentes '!F82</f>
        <v>D8</v>
      </c>
      <c r="B34" t="str">
        <f>+'Recherche passées et présentes '!G82</f>
        <v>Do tox : identification, caractérisation et devenir des différents composantes des EP potentiellement toxiques pour les milieux aquatiques</v>
      </c>
      <c r="C34">
        <f>+'Recherche passées et présentes '!C82</f>
        <v>2009</v>
      </c>
      <c r="D34">
        <f>+'Recherche passées et présentes '!D82</f>
        <v>2010</v>
      </c>
      <c r="E34" t="str">
        <f>+'Recherche passées et présentes '!K82</f>
        <v>Yves Perrodin, ENTPE</v>
      </c>
    </row>
    <row r="35" spans="1:5" ht="12.75">
      <c r="A35" t="str">
        <f>+'Recherche passées et présentes '!F83</f>
        <v>D9</v>
      </c>
      <c r="B35" t="str">
        <f>+'Recherche passées et présentes '!G83</f>
        <v>Elaboration d'un outil opérationnel pour la maîrise des impacts des ouvrages d'infiltration d'eau de ruisselemnt pluvial sur le régime themrique des nappes phréatiques</v>
      </c>
      <c r="C35">
        <f>+'Recherche passées et présentes '!C83</f>
        <v>2009</v>
      </c>
      <c r="D35">
        <f>+'Recherche passées et présentes '!D83</f>
        <v>2010</v>
      </c>
      <c r="E35" t="str">
        <f>+'Recherche passées et présentes '!K83</f>
        <v>Florian Malard, UMR 5023</v>
      </c>
    </row>
    <row r="36" spans="1:5" ht="12.75">
      <c r="A36" t="str">
        <f>+'Recherche passées et présentes '!F84</f>
        <v>projet en lien</v>
      </c>
      <c r="B36" t="str">
        <f>+'Recherche passées et présentes '!G84</f>
        <v>AIDE Programme ESPRITqui est une des actions de recherche du projet RHODANOS au sein du pôle de compétitivité AXELERA "Chimie Environnement"
(financement relatif aux actions de recherche liées à l'OTHU)
</v>
      </c>
      <c r="C36">
        <f>+'Recherche passées et présentes '!C84</f>
        <v>0</v>
      </c>
      <c r="D36">
        <f>+'Recherche passées et présentes '!D84</f>
        <v>0</v>
      </c>
      <c r="E36" t="str">
        <f>+'Recherche passées et présentes '!K84</f>
        <v>Jean Luc Bertrand Krajewski, INSA</v>
      </c>
    </row>
    <row r="37" spans="1:5" ht="12.75">
      <c r="A37" t="str">
        <f>+'Recherche passées et présentes '!F85</f>
        <v>projet en lien</v>
      </c>
      <c r="B37" t="str">
        <f>+'Recherche passées et présentes '!G85</f>
        <v>AIDE DRAST - ACTIONS "Décantation des rejets pluviaux urbains en bassin de retenue : métrologie, modélisation, évolution physico-chimique des sédiments" – PHASE 1 et 2</v>
      </c>
      <c r="C37">
        <f>+'Recherche passées et présentes '!C85</f>
        <v>0</v>
      </c>
      <c r="D37">
        <f>+'Recherche passées et présentes '!D85</f>
        <v>0</v>
      </c>
      <c r="E37">
        <f>+'Recherche passées et présentes '!K85</f>
        <v>0</v>
      </c>
    </row>
    <row r="38" spans="1:5" ht="12.75">
      <c r="A38">
        <f>+'Recherche passées et présentes '!F86</f>
        <v>0</v>
      </c>
      <c r="B38" t="str">
        <f>+'Recherche passées et présentes '!G86</f>
        <v>AIDE meedem DRI-Actions</v>
      </c>
      <c r="C38">
        <f>+'Recherche passées et présentes '!C86</f>
        <v>0</v>
      </c>
      <c r="D38">
        <f>+'Recherche passées et présentes '!D86</f>
        <v>0</v>
      </c>
      <c r="E38" t="str">
        <f>+'Recherche passées et présentes '!K86</f>
        <v>Sylvie Barraud, INSA</v>
      </c>
    </row>
    <row r="39" spans="1:5" ht="12.75">
      <c r="A39" t="str">
        <f>+'Recherche passées et présentes '!F87</f>
        <v>projet en lien</v>
      </c>
      <c r="B39" t="str">
        <f>+'Recherche passées et présentes '!G87</f>
        <v>AIDE DRAST- ACTION "Analyse des dynamiques d’évolution du colmatage d’ouvrages d’infiltration des eaux de ruissellement pluvial en relation avec les apports"</v>
      </c>
      <c r="C39">
        <f>+'Recherche passées et présentes '!C87</f>
        <v>0</v>
      </c>
      <c r="D39">
        <f>+'Recherche passées et présentes '!D87</f>
        <v>0</v>
      </c>
      <c r="E39">
        <f>+'Recherche passées et présentes '!K87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4"/>
  <sheetViews>
    <sheetView zoomScale="75" zoomScaleNormal="75" workbookViewId="0" topLeftCell="C1">
      <pane xSplit="6" ySplit="1" topLeftCell="Q2" activePane="bottomRight" state="frozen"/>
      <selection pane="topLeft" activeCell="C1" sqref="C1"/>
      <selection pane="topRight" activeCell="J1" sqref="J1"/>
      <selection pane="bottomLeft" activeCell="C2" sqref="C2"/>
      <selection pane="bottomRight" activeCell="G6" sqref="G6"/>
    </sheetView>
  </sheetViews>
  <sheetFormatPr defaultColWidth="11.421875" defaultRowHeight="12.75"/>
  <cols>
    <col min="1" max="2" width="16.7109375" style="7" customWidth="1"/>
    <col min="3" max="3" width="26.421875" style="7" customWidth="1"/>
    <col min="4" max="4" width="16.7109375" style="7" customWidth="1"/>
    <col min="5" max="5" width="53.140625" style="7" customWidth="1"/>
    <col min="6" max="7" width="16.7109375" style="5" customWidth="1"/>
    <col min="8" max="9" width="16.7109375" style="6" customWidth="1"/>
    <col min="10" max="20" width="16.7109375" style="7" customWidth="1"/>
    <col min="21" max="26" width="16.7109375" style="8" customWidth="1"/>
    <col min="27" max="16384" width="16.7109375" style="7" customWidth="1"/>
  </cols>
  <sheetData>
    <row r="1" spans="1:26" s="11" customFormat="1" ht="89.25" customHeight="1" thickBot="1">
      <c r="A1" s="15" t="s">
        <v>189</v>
      </c>
      <c r="B1" s="15" t="s">
        <v>190</v>
      </c>
      <c r="C1" s="15" t="s">
        <v>153</v>
      </c>
      <c r="D1" s="16" t="s">
        <v>7</v>
      </c>
      <c r="E1" s="16" t="s">
        <v>139</v>
      </c>
      <c r="F1" s="17" t="s">
        <v>23</v>
      </c>
      <c r="G1" s="17" t="s">
        <v>196</v>
      </c>
      <c r="H1" s="17" t="s">
        <v>197</v>
      </c>
      <c r="I1" s="17" t="s">
        <v>198</v>
      </c>
      <c r="J1" s="18" t="s">
        <v>80</v>
      </c>
      <c r="K1" s="18" t="s">
        <v>199</v>
      </c>
      <c r="L1" s="18" t="s">
        <v>200</v>
      </c>
      <c r="M1" s="18" t="s">
        <v>201</v>
      </c>
      <c r="N1" s="18" t="s">
        <v>202</v>
      </c>
      <c r="O1" s="18" t="s">
        <v>203</v>
      </c>
      <c r="P1" s="18" t="s">
        <v>210</v>
      </c>
      <c r="Q1" s="18" t="s">
        <v>211</v>
      </c>
      <c r="R1" s="18" t="s">
        <v>224</v>
      </c>
      <c r="S1" s="10" t="s">
        <v>8</v>
      </c>
      <c r="T1" s="10" t="s">
        <v>9</v>
      </c>
      <c r="U1" s="12" t="s">
        <v>213</v>
      </c>
      <c r="V1" s="12" t="s">
        <v>194</v>
      </c>
      <c r="W1" s="12" t="s">
        <v>195</v>
      </c>
      <c r="X1" s="12" t="s">
        <v>115</v>
      </c>
      <c r="Y1" s="12" t="s">
        <v>116</v>
      </c>
      <c r="Z1" s="12" t="s">
        <v>225</v>
      </c>
    </row>
    <row r="2" spans="3:26" s="3" customFormat="1" ht="15.75">
      <c r="C2" s="3" t="s">
        <v>404</v>
      </c>
      <c r="E2" s="141" t="s">
        <v>403</v>
      </c>
      <c r="F2" s="14"/>
      <c r="G2" s="14" t="s">
        <v>254</v>
      </c>
      <c r="H2" s="14"/>
      <c r="I2" s="14"/>
      <c r="U2" s="4"/>
      <c r="V2" s="4"/>
      <c r="W2" s="4"/>
      <c r="X2" s="4"/>
      <c r="Y2" s="4"/>
      <c r="Z2" s="4"/>
    </row>
    <row r="3" spans="3:26" s="3" customFormat="1" ht="45">
      <c r="C3" s="3" t="s">
        <v>409</v>
      </c>
      <c r="E3" s="3" t="s">
        <v>405</v>
      </c>
      <c r="F3" s="14" t="s">
        <v>406</v>
      </c>
      <c r="G3" s="14" t="s">
        <v>407</v>
      </c>
      <c r="H3" s="14" t="s">
        <v>408</v>
      </c>
      <c r="I3" s="14"/>
      <c r="J3" s="3" t="s">
        <v>411</v>
      </c>
      <c r="K3" s="3" t="s">
        <v>406</v>
      </c>
      <c r="L3" s="3" t="s">
        <v>410</v>
      </c>
      <c r="R3" s="3">
        <f>52200+30300</f>
        <v>82500</v>
      </c>
      <c r="U3" s="4"/>
      <c r="V3" s="4"/>
      <c r="W3" s="4"/>
      <c r="X3" s="4"/>
      <c r="Y3" s="4"/>
      <c r="Z3" s="4"/>
    </row>
    <row r="4" spans="3:26" s="3" customFormat="1" ht="15">
      <c r="C4" s="3" t="s">
        <v>324</v>
      </c>
      <c r="E4" s="3" t="s">
        <v>412</v>
      </c>
      <c r="F4" s="14" t="s">
        <v>349</v>
      </c>
      <c r="G4" s="14" t="s">
        <v>263</v>
      </c>
      <c r="H4" s="14" t="s">
        <v>475</v>
      </c>
      <c r="I4" s="14"/>
      <c r="U4" s="4"/>
      <c r="V4" s="4"/>
      <c r="W4" s="4"/>
      <c r="X4" s="4"/>
      <c r="Y4" s="4"/>
      <c r="Z4" s="4"/>
    </row>
    <row r="5" spans="3:26" s="3" customFormat="1" ht="75">
      <c r="C5" s="143" t="s">
        <v>455</v>
      </c>
      <c r="D5" s="144" t="s">
        <v>324</v>
      </c>
      <c r="E5" s="145"/>
      <c r="F5" s="146"/>
      <c r="G5" s="147" t="s">
        <v>263</v>
      </c>
      <c r="H5" s="146" t="s">
        <v>456</v>
      </c>
      <c r="I5" s="146"/>
      <c r="J5" s="148"/>
      <c r="U5" s="4"/>
      <c r="V5" s="4"/>
      <c r="W5" s="4"/>
      <c r="X5" s="4"/>
      <c r="Y5" s="4"/>
      <c r="Z5" s="4"/>
    </row>
    <row r="6" spans="3:26" s="3" customFormat="1" ht="60">
      <c r="C6" s="147" t="s">
        <v>457</v>
      </c>
      <c r="D6" s="144" t="s">
        <v>324</v>
      </c>
      <c r="E6" s="152" t="s">
        <v>476</v>
      </c>
      <c r="F6" s="146"/>
      <c r="G6" s="147" t="s">
        <v>263</v>
      </c>
      <c r="H6" s="146" t="s">
        <v>458</v>
      </c>
      <c r="I6" s="146"/>
      <c r="J6" s="149" t="s">
        <v>459</v>
      </c>
      <c r="U6" s="4"/>
      <c r="V6" s="4"/>
      <c r="W6" s="4"/>
      <c r="X6" s="4"/>
      <c r="Y6" s="4"/>
      <c r="Z6" s="4"/>
    </row>
    <row r="7" spans="3:26" s="3" customFormat="1" ht="30">
      <c r="C7" s="116" t="s">
        <v>477</v>
      </c>
      <c r="D7" s="32" t="s">
        <v>324</v>
      </c>
      <c r="E7" s="32" t="s">
        <v>420</v>
      </c>
      <c r="F7" s="103" t="s">
        <v>263</v>
      </c>
      <c r="G7" s="34" t="s">
        <v>263</v>
      </c>
      <c r="H7" s="34" t="s">
        <v>416</v>
      </c>
      <c r="I7" s="104" t="s">
        <v>421</v>
      </c>
      <c r="J7" s="104" t="s">
        <v>421</v>
      </c>
      <c r="K7" s="29"/>
      <c r="L7" s="29" t="s">
        <v>245</v>
      </c>
      <c r="M7" s="105"/>
      <c r="N7" s="107"/>
      <c r="O7" s="103"/>
      <c r="P7" s="103"/>
      <c r="Q7" s="103"/>
      <c r="R7" s="103">
        <v>55000</v>
      </c>
      <c r="U7" s="4"/>
      <c r="V7" s="4"/>
      <c r="W7" s="4"/>
      <c r="X7" s="4"/>
      <c r="Y7" s="4"/>
      <c r="Z7" s="4"/>
    </row>
    <row r="8" spans="3:26" s="3" customFormat="1" ht="30">
      <c r="C8" s="3" t="s">
        <v>477</v>
      </c>
      <c r="E8" s="32" t="s">
        <v>382</v>
      </c>
      <c r="F8" s="14"/>
      <c r="G8" s="29" t="s">
        <v>237</v>
      </c>
      <c r="H8" s="34" t="s">
        <v>383</v>
      </c>
      <c r="I8" s="31" t="s">
        <v>384</v>
      </c>
      <c r="J8" s="29" t="s">
        <v>339</v>
      </c>
      <c r="K8" s="31" t="s">
        <v>343</v>
      </c>
      <c r="L8" s="31" t="s">
        <v>385</v>
      </c>
      <c r="M8" s="29"/>
      <c r="N8" s="31"/>
      <c r="O8" s="38"/>
      <c r="P8" s="109"/>
      <c r="Q8" s="31">
        <v>60870</v>
      </c>
      <c r="R8" s="38">
        <v>40956</v>
      </c>
      <c r="S8" s="38">
        <v>40956</v>
      </c>
      <c r="T8" s="56"/>
      <c r="U8" s="36"/>
      <c r="V8" s="36"/>
      <c r="W8" s="4"/>
      <c r="X8" s="4"/>
      <c r="Y8" s="4"/>
      <c r="Z8" s="4"/>
    </row>
    <row r="9" spans="3:26" s="3" customFormat="1" ht="45">
      <c r="C9" s="3" t="s">
        <v>477</v>
      </c>
      <c r="E9" s="32" t="s">
        <v>389</v>
      </c>
      <c r="F9" s="14"/>
      <c r="G9" s="29" t="s">
        <v>216</v>
      </c>
      <c r="H9" s="34" t="s">
        <v>390</v>
      </c>
      <c r="I9" s="31" t="s">
        <v>204</v>
      </c>
      <c r="J9" s="29" t="s">
        <v>391</v>
      </c>
      <c r="K9" s="31" t="s">
        <v>392</v>
      </c>
      <c r="L9" s="31" t="s">
        <v>393</v>
      </c>
      <c r="M9" s="29"/>
      <c r="N9" s="31"/>
      <c r="O9" s="38"/>
      <c r="P9" s="109"/>
      <c r="Q9" s="31">
        <f>138114+45400</f>
        <v>183514</v>
      </c>
      <c r="R9" s="38">
        <f>75990+45400</f>
        <v>121390</v>
      </c>
      <c r="S9" s="38">
        <f>75990+45400</f>
        <v>121390</v>
      </c>
      <c r="T9" s="56"/>
      <c r="U9" s="36"/>
      <c r="V9" s="36"/>
      <c r="W9" s="4"/>
      <c r="X9" s="4"/>
      <c r="Y9" s="4"/>
      <c r="Z9" s="4"/>
    </row>
    <row r="10" spans="3:26" s="3" customFormat="1" ht="47.25">
      <c r="C10" s="3" t="s">
        <v>477</v>
      </c>
      <c r="E10" s="40" t="s">
        <v>423</v>
      </c>
      <c r="F10" s="14"/>
      <c r="G10" s="31" t="s">
        <v>424</v>
      </c>
      <c r="H10" s="34" t="s">
        <v>387</v>
      </c>
      <c r="I10" s="31" t="s">
        <v>388</v>
      </c>
      <c r="R10" s="36">
        <v>61111</v>
      </c>
      <c r="U10" s="4"/>
      <c r="V10" s="4"/>
      <c r="W10" s="4"/>
      <c r="X10" s="4"/>
      <c r="Y10" s="4"/>
      <c r="Z10" s="4"/>
    </row>
    <row r="11" spans="3:26" s="1" customFormat="1" ht="27">
      <c r="C11" s="3"/>
      <c r="F11" s="5"/>
      <c r="G11" s="5"/>
      <c r="H11" s="6"/>
      <c r="I11" s="6"/>
      <c r="U11" s="2"/>
      <c r="V11" s="2"/>
      <c r="W11" s="2"/>
      <c r="X11" s="2"/>
      <c r="Y11" s="2"/>
      <c r="Z11" s="2"/>
    </row>
    <row r="12" spans="3:26" s="1" customFormat="1" ht="27">
      <c r="C12" s="3"/>
      <c r="F12" s="5"/>
      <c r="G12" s="5"/>
      <c r="H12" s="6"/>
      <c r="I12" s="6"/>
      <c r="U12" s="2"/>
      <c r="V12" s="2"/>
      <c r="W12" s="2"/>
      <c r="X12" s="2"/>
      <c r="Y12" s="2"/>
      <c r="Z12" s="2"/>
    </row>
    <row r="13" spans="3:26" s="1" customFormat="1" ht="27">
      <c r="C13" s="3"/>
      <c r="F13" s="5"/>
      <c r="G13" s="5"/>
      <c r="H13" s="6"/>
      <c r="I13" s="6"/>
      <c r="U13" s="2"/>
      <c r="V13" s="2"/>
      <c r="W13" s="2"/>
      <c r="X13" s="2"/>
      <c r="Y13" s="2"/>
      <c r="Z13" s="2"/>
    </row>
    <row r="14" spans="3:26" s="1" customFormat="1" ht="27">
      <c r="C14" s="3"/>
      <c r="F14" s="5"/>
      <c r="G14" s="5"/>
      <c r="H14" s="6"/>
      <c r="I14" s="6"/>
      <c r="U14" s="2"/>
      <c r="V14" s="2"/>
      <c r="W14" s="2"/>
      <c r="X14" s="2"/>
      <c r="Y14" s="2"/>
      <c r="Z14" s="2"/>
    </row>
    <row r="15" spans="3:26" s="1" customFormat="1" ht="27">
      <c r="C15" s="3"/>
      <c r="F15" s="5"/>
      <c r="G15" s="5"/>
      <c r="H15" s="6"/>
      <c r="I15" s="6"/>
      <c r="U15" s="2"/>
      <c r="V15" s="2"/>
      <c r="W15" s="2"/>
      <c r="X15" s="2"/>
      <c r="Y15" s="2"/>
      <c r="Z15" s="2"/>
    </row>
    <row r="16" spans="3:26" s="1" customFormat="1" ht="27">
      <c r="C16" s="3"/>
      <c r="F16" s="5"/>
      <c r="G16" s="5"/>
      <c r="H16" s="6"/>
      <c r="I16" s="6"/>
      <c r="U16" s="2"/>
      <c r="V16" s="2"/>
      <c r="W16" s="2"/>
      <c r="X16" s="2"/>
      <c r="Y16" s="2"/>
      <c r="Z16" s="2"/>
    </row>
    <row r="17" spans="3:26" s="1" customFormat="1" ht="27">
      <c r="C17" s="3"/>
      <c r="F17" s="5"/>
      <c r="G17" s="5"/>
      <c r="H17" s="6"/>
      <c r="I17" s="6"/>
      <c r="U17" s="2"/>
      <c r="V17" s="2"/>
      <c r="W17" s="2"/>
      <c r="X17" s="2"/>
      <c r="Y17" s="2"/>
      <c r="Z17" s="2"/>
    </row>
    <row r="18" spans="3:26" s="1" customFormat="1" ht="27">
      <c r="C18" s="3"/>
      <c r="F18" s="5"/>
      <c r="G18" s="5"/>
      <c r="H18" s="6"/>
      <c r="I18" s="6"/>
      <c r="U18" s="2"/>
      <c r="V18" s="2"/>
      <c r="W18" s="2"/>
      <c r="X18" s="2"/>
      <c r="Y18" s="2"/>
      <c r="Z18" s="2"/>
    </row>
    <row r="19" spans="3:26" s="1" customFormat="1" ht="27">
      <c r="C19" s="3"/>
      <c r="F19" s="5"/>
      <c r="G19" s="5"/>
      <c r="H19" s="6"/>
      <c r="I19" s="6"/>
      <c r="U19" s="2"/>
      <c r="V19" s="2"/>
      <c r="W19" s="2"/>
      <c r="X19" s="2"/>
      <c r="Y19" s="2"/>
      <c r="Z19" s="2"/>
    </row>
    <row r="20" spans="3:26" s="1" customFormat="1" ht="27">
      <c r="C20" s="3"/>
      <c r="F20" s="5"/>
      <c r="G20" s="5"/>
      <c r="H20" s="6"/>
      <c r="I20" s="6"/>
      <c r="U20" s="2"/>
      <c r="V20" s="2"/>
      <c r="W20" s="2"/>
      <c r="X20" s="2"/>
      <c r="Y20" s="2"/>
      <c r="Z20" s="2"/>
    </row>
    <row r="21" spans="3:26" s="1" customFormat="1" ht="27">
      <c r="C21" s="3"/>
      <c r="F21" s="5"/>
      <c r="G21" s="5"/>
      <c r="H21" s="6"/>
      <c r="I21" s="6"/>
      <c r="U21" s="2"/>
      <c r="V21" s="2"/>
      <c r="W21" s="2"/>
      <c r="X21" s="2"/>
      <c r="Y21" s="2"/>
      <c r="Z21" s="2"/>
    </row>
    <row r="22" spans="3:26" s="1" customFormat="1" ht="27">
      <c r="C22" s="3"/>
      <c r="F22" s="5"/>
      <c r="G22" s="5"/>
      <c r="H22" s="6"/>
      <c r="I22" s="6"/>
      <c r="U22" s="2"/>
      <c r="V22" s="2"/>
      <c r="W22" s="2"/>
      <c r="X22" s="2"/>
      <c r="Y22" s="2"/>
      <c r="Z22" s="2"/>
    </row>
    <row r="23" spans="3:26" s="1" customFormat="1" ht="27">
      <c r="C23" s="3"/>
      <c r="F23" s="5"/>
      <c r="G23" s="5"/>
      <c r="H23" s="6"/>
      <c r="I23" s="6"/>
      <c r="U23" s="2"/>
      <c r="V23" s="2"/>
      <c r="W23" s="2"/>
      <c r="X23" s="2"/>
      <c r="Y23" s="2"/>
      <c r="Z23" s="2"/>
    </row>
    <row r="24" spans="3:26" s="1" customFormat="1" ht="27">
      <c r="C24" s="3"/>
      <c r="F24" s="5"/>
      <c r="G24" s="5"/>
      <c r="H24" s="6"/>
      <c r="I24" s="6"/>
      <c r="U24" s="2"/>
      <c r="V24" s="2"/>
      <c r="W24" s="2"/>
      <c r="X24" s="2"/>
      <c r="Y24" s="2"/>
      <c r="Z24" s="2"/>
    </row>
    <row r="25" spans="3:26" s="1" customFormat="1" ht="27">
      <c r="C25" s="3"/>
      <c r="F25" s="5"/>
      <c r="G25" s="5"/>
      <c r="H25" s="6"/>
      <c r="I25" s="6"/>
      <c r="U25" s="2"/>
      <c r="V25" s="2"/>
      <c r="W25" s="2"/>
      <c r="X25" s="2"/>
      <c r="Y25" s="2"/>
      <c r="Z25" s="2"/>
    </row>
    <row r="26" spans="3:26" s="1" customFormat="1" ht="27">
      <c r="C26" s="3"/>
      <c r="F26" s="5"/>
      <c r="G26" s="5"/>
      <c r="H26" s="6"/>
      <c r="I26" s="6"/>
      <c r="U26" s="2"/>
      <c r="V26" s="2"/>
      <c r="W26" s="2"/>
      <c r="X26" s="2"/>
      <c r="Y26" s="2"/>
      <c r="Z26" s="2"/>
    </row>
    <row r="27" spans="3:26" s="1" customFormat="1" ht="27">
      <c r="C27" s="3"/>
      <c r="F27" s="5"/>
      <c r="G27" s="5"/>
      <c r="H27" s="6"/>
      <c r="I27" s="6"/>
      <c r="U27" s="2"/>
      <c r="V27" s="2"/>
      <c r="W27" s="2"/>
      <c r="X27" s="2"/>
      <c r="Y27" s="2"/>
      <c r="Z27" s="2"/>
    </row>
    <row r="28" spans="3:26" s="1" customFormat="1" ht="27">
      <c r="C28" s="3"/>
      <c r="F28" s="5"/>
      <c r="G28" s="5"/>
      <c r="H28" s="6"/>
      <c r="I28" s="6"/>
      <c r="U28" s="2"/>
      <c r="V28" s="2"/>
      <c r="W28" s="2"/>
      <c r="X28" s="2"/>
      <c r="Y28" s="2"/>
      <c r="Z28" s="2"/>
    </row>
    <row r="29" spans="3:26" s="1" customFormat="1" ht="27">
      <c r="C29" s="3"/>
      <c r="F29" s="5"/>
      <c r="G29" s="5"/>
      <c r="H29" s="6"/>
      <c r="I29" s="6"/>
      <c r="U29" s="2"/>
      <c r="V29" s="2"/>
      <c r="W29" s="2"/>
      <c r="X29" s="2"/>
      <c r="Y29" s="2"/>
      <c r="Z29" s="2"/>
    </row>
    <row r="30" spans="3:26" s="1" customFormat="1" ht="27">
      <c r="C30" s="3"/>
      <c r="F30" s="5"/>
      <c r="G30" s="5"/>
      <c r="H30" s="6"/>
      <c r="I30" s="6"/>
      <c r="U30" s="2"/>
      <c r="V30" s="2"/>
      <c r="W30" s="2"/>
      <c r="X30" s="2"/>
      <c r="Y30" s="2"/>
      <c r="Z30" s="2"/>
    </row>
    <row r="31" spans="3:26" s="1" customFormat="1" ht="27">
      <c r="C31" s="3"/>
      <c r="F31" s="5"/>
      <c r="G31" s="5"/>
      <c r="H31" s="6"/>
      <c r="I31" s="6"/>
      <c r="U31" s="2"/>
      <c r="V31" s="2"/>
      <c r="W31" s="2"/>
      <c r="X31" s="2"/>
      <c r="Y31" s="2"/>
      <c r="Z31" s="2"/>
    </row>
    <row r="32" spans="3:26" s="1" customFormat="1" ht="27">
      <c r="C32" s="3"/>
      <c r="F32" s="5"/>
      <c r="G32" s="5"/>
      <c r="H32" s="6"/>
      <c r="I32" s="6"/>
      <c r="U32" s="2"/>
      <c r="V32" s="2"/>
      <c r="W32" s="2"/>
      <c r="X32" s="2"/>
      <c r="Y32" s="2"/>
      <c r="Z32" s="2"/>
    </row>
    <row r="33" spans="3:26" s="1" customFormat="1" ht="27">
      <c r="C33" s="3"/>
      <c r="F33" s="5"/>
      <c r="G33" s="5"/>
      <c r="H33" s="6"/>
      <c r="I33" s="6"/>
      <c r="U33" s="2"/>
      <c r="V33" s="2"/>
      <c r="W33" s="2"/>
      <c r="X33" s="2"/>
      <c r="Y33" s="2"/>
      <c r="Z33" s="2"/>
    </row>
    <row r="34" spans="3:26" s="1" customFormat="1" ht="27">
      <c r="C34" s="3"/>
      <c r="F34" s="5"/>
      <c r="G34" s="5"/>
      <c r="H34" s="6"/>
      <c r="I34" s="6"/>
      <c r="U34" s="2"/>
      <c r="V34" s="2"/>
      <c r="W34" s="2"/>
      <c r="X34" s="2"/>
      <c r="Y34" s="2"/>
      <c r="Z34" s="2"/>
    </row>
    <row r="35" spans="3:26" s="1" customFormat="1" ht="27">
      <c r="C35" s="3"/>
      <c r="F35" s="5"/>
      <c r="G35" s="5"/>
      <c r="H35" s="6"/>
      <c r="I35" s="6"/>
      <c r="U35" s="2"/>
      <c r="V35" s="2"/>
      <c r="W35" s="2"/>
      <c r="X35" s="2"/>
      <c r="Y35" s="2"/>
      <c r="Z35" s="2"/>
    </row>
    <row r="36" spans="3:26" s="1" customFormat="1" ht="27">
      <c r="C36" s="3"/>
      <c r="F36" s="5"/>
      <c r="G36" s="5"/>
      <c r="H36" s="6"/>
      <c r="I36" s="6"/>
      <c r="U36" s="2"/>
      <c r="V36" s="2"/>
      <c r="W36" s="2"/>
      <c r="X36" s="2"/>
      <c r="Y36" s="2"/>
      <c r="Z36" s="2"/>
    </row>
    <row r="37" spans="3:26" s="1" customFormat="1" ht="27">
      <c r="C37" s="3"/>
      <c r="F37" s="5"/>
      <c r="G37" s="5"/>
      <c r="H37" s="6"/>
      <c r="I37" s="6"/>
      <c r="U37" s="2"/>
      <c r="V37" s="2"/>
      <c r="W37" s="2"/>
      <c r="X37" s="2"/>
      <c r="Y37" s="2"/>
      <c r="Z37" s="2"/>
    </row>
    <row r="38" spans="3:26" s="1" customFormat="1" ht="27">
      <c r="C38" s="3"/>
      <c r="F38" s="5"/>
      <c r="G38" s="5"/>
      <c r="H38" s="6"/>
      <c r="I38" s="6"/>
      <c r="U38" s="2"/>
      <c r="V38" s="2"/>
      <c r="W38" s="2"/>
      <c r="X38" s="2"/>
      <c r="Y38" s="2"/>
      <c r="Z38" s="2"/>
    </row>
    <row r="39" spans="3:26" s="1" customFormat="1" ht="27">
      <c r="C39" s="3"/>
      <c r="F39" s="5"/>
      <c r="G39" s="5"/>
      <c r="H39" s="6"/>
      <c r="I39" s="6"/>
      <c r="U39" s="2"/>
      <c r="V39" s="2"/>
      <c r="W39" s="2"/>
      <c r="X39" s="2"/>
      <c r="Y39" s="2"/>
      <c r="Z39" s="2"/>
    </row>
    <row r="40" spans="3:26" s="1" customFormat="1" ht="27">
      <c r="C40" s="3"/>
      <c r="F40" s="5"/>
      <c r="G40" s="5"/>
      <c r="H40" s="6"/>
      <c r="I40" s="6"/>
      <c r="U40" s="2"/>
      <c r="V40" s="2"/>
      <c r="W40" s="2"/>
      <c r="X40" s="2"/>
      <c r="Y40" s="2"/>
      <c r="Z40" s="2"/>
    </row>
    <row r="41" spans="3:26" s="1" customFormat="1" ht="27">
      <c r="C41" s="3"/>
      <c r="F41" s="5"/>
      <c r="G41" s="5"/>
      <c r="H41" s="6"/>
      <c r="I41" s="6"/>
      <c r="U41" s="2"/>
      <c r="V41" s="2"/>
      <c r="W41" s="2"/>
      <c r="X41" s="2"/>
      <c r="Y41" s="2"/>
      <c r="Z41" s="2"/>
    </row>
    <row r="42" spans="3:26" s="1" customFormat="1" ht="27">
      <c r="C42" s="3"/>
      <c r="F42" s="5"/>
      <c r="G42" s="5"/>
      <c r="H42" s="6"/>
      <c r="I42" s="6"/>
      <c r="U42" s="2"/>
      <c r="V42" s="2"/>
      <c r="W42" s="2"/>
      <c r="X42" s="2"/>
      <c r="Y42" s="2"/>
      <c r="Z42" s="2"/>
    </row>
    <row r="43" spans="3:26" s="1" customFormat="1" ht="27">
      <c r="C43" s="3"/>
      <c r="F43" s="5"/>
      <c r="G43" s="5"/>
      <c r="H43" s="6"/>
      <c r="I43" s="6"/>
      <c r="U43" s="2"/>
      <c r="V43" s="2"/>
      <c r="W43" s="2"/>
      <c r="X43" s="2"/>
      <c r="Y43" s="2"/>
      <c r="Z43" s="2"/>
    </row>
    <row r="44" spans="3:26" s="1" customFormat="1" ht="27">
      <c r="C44" s="3"/>
      <c r="F44" s="5"/>
      <c r="G44" s="5"/>
      <c r="H44" s="6"/>
      <c r="I44" s="6"/>
      <c r="U44" s="2"/>
      <c r="V44" s="2"/>
      <c r="W44" s="2"/>
      <c r="X44" s="2"/>
      <c r="Y44" s="2"/>
      <c r="Z44" s="2"/>
    </row>
    <row r="45" spans="3:26" s="1" customFormat="1" ht="27">
      <c r="C45" s="3"/>
      <c r="F45" s="5"/>
      <c r="G45" s="5"/>
      <c r="H45" s="6"/>
      <c r="I45" s="6"/>
      <c r="U45" s="2"/>
      <c r="V45" s="2"/>
      <c r="W45" s="2"/>
      <c r="X45" s="2"/>
      <c r="Y45" s="2"/>
      <c r="Z45" s="2"/>
    </row>
    <row r="46" spans="3:26" s="1" customFormat="1" ht="27">
      <c r="C46" s="3"/>
      <c r="F46" s="5"/>
      <c r="G46" s="5"/>
      <c r="H46" s="6"/>
      <c r="I46" s="6"/>
      <c r="U46" s="2"/>
      <c r="V46" s="2"/>
      <c r="W46" s="2"/>
      <c r="X46" s="2"/>
      <c r="Y46" s="2"/>
      <c r="Z46" s="2"/>
    </row>
    <row r="47" spans="3:26" s="1" customFormat="1" ht="27">
      <c r="C47" s="3"/>
      <c r="F47" s="5"/>
      <c r="G47" s="5"/>
      <c r="H47" s="6"/>
      <c r="I47" s="6"/>
      <c r="U47" s="2"/>
      <c r="V47" s="2"/>
      <c r="W47" s="2"/>
      <c r="X47" s="2"/>
      <c r="Y47" s="2"/>
      <c r="Z47" s="2"/>
    </row>
    <row r="48" spans="3:26" s="1" customFormat="1" ht="27">
      <c r="C48" s="3"/>
      <c r="F48" s="5"/>
      <c r="G48" s="5"/>
      <c r="H48" s="6"/>
      <c r="I48" s="6"/>
      <c r="U48" s="2"/>
      <c r="V48" s="2"/>
      <c r="W48" s="2"/>
      <c r="X48" s="2"/>
      <c r="Y48" s="2"/>
      <c r="Z48" s="2"/>
    </row>
    <row r="49" spans="3:26" s="1" customFormat="1" ht="27">
      <c r="C49" s="3"/>
      <c r="F49" s="5"/>
      <c r="G49" s="5"/>
      <c r="H49" s="6"/>
      <c r="I49" s="6"/>
      <c r="U49" s="2"/>
      <c r="V49" s="2"/>
      <c r="W49" s="2"/>
      <c r="X49" s="2"/>
      <c r="Y49" s="2"/>
      <c r="Z49" s="2"/>
    </row>
    <row r="50" spans="3:26" s="1" customFormat="1" ht="27">
      <c r="C50" s="3"/>
      <c r="F50" s="5"/>
      <c r="G50" s="5"/>
      <c r="H50" s="6"/>
      <c r="I50" s="6"/>
      <c r="U50" s="2"/>
      <c r="V50" s="2"/>
      <c r="W50" s="2"/>
      <c r="X50" s="2"/>
      <c r="Y50" s="2"/>
      <c r="Z50" s="2"/>
    </row>
    <row r="51" spans="3:26" s="1" customFormat="1" ht="27">
      <c r="C51" s="3"/>
      <c r="F51" s="5"/>
      <c r="G51" s="5"/>
      <c r="H51" s="6"/>
      <c r="I51" s="6"/>
      <c r="U51" s="2"/>
      <c r="V51" s="2"/>
      <c r="W51" s="2"/>
      <c r="X51" s="2"/>
      <c r="Y51" s="2"/>
      <c r="Z51" s="2"/>
    </row>
    <row r="52" spans="3:26" s="1" customFormat="1" ht="27">
      <c r="C52" s="3"/>
      <c r="F52" s="5"/>
      <c r="G52" s="5"/>
      <c r="H52" s="6"/>
      <c r="I52" s="6"/>
      <c r="U52" s="2"/>
      <c r="V52" s="2"/>
      <c r="W52" s="2"/>
      <c r="X52" s="2"/>
      <c r="Y52" s="2"/>
      <c r="Z52" s="2"/>
    </row>
    <row r="53" spans="3:26" s="1" customFormat="1" ht="27">
      <c r="C53" s="3"/>
      <c r="F53" s="5"/>
      <c r="G53" s="5"/>
      <c r="H53" s="6"/>
      <c r="I53" s="6"/>
      <c r="U53" s="2"/>
      <c r="V53" s="2"/>
      <c r="W53" s="2"/>
      <c r="X53" s="2"/>
      <c r="Y53" s="2"/>
      <c r="Z53" s="2"/>
    </row>
    <row r="54" spans="3:26" s="1" customFormat="1" ht="27">
      <c r="C54" s="3"/>
      <c r="F54" s="5"/>
      <c r="G54" s="5"/>
      <c r="H54" s="6"/>
      <c r="I54" s="6"/>
      <c r="U54" s="2"/>
      <c r="V54" s="2"/>
      <c r="W54" s="2"/>
      <c r="X54" s="2"/>
      <c r="Y54" s="2"/>
      <c r="Z54" s="2"/>
    </row>
    <row r="55" spans="3:26" s="1" customFormat="1" ht="27">
      <c r="C55" s="3"/>
      <c r="F55" s="5"/>
      <c r="G55" s="5"/>
      <c r="H55" s="6"/>
      <c r="I55" s="6"/>
      <c r="U55" s="2"/>
      <c r="V55" s="2"/>
      <c r="W55" s="2"/>
      <c r="X55" s="2"/>
      <c r="Y55" s="2"/>
      <c r="Z55" s="2"/>
    </row>
    <row r="56" spans="3:26" s="1" customFormat="1" ht="27">
      <c r="C56" s="3"/>
      <c r="F56" s="5"/>
      <c r="G56" s="5"/>
      <c r="H56" s="6"/>
      <c r="I56" s="6"/>
      <c r="U56" s="2"/>
      <c r="V56" s="2"/>
      <c r="W56" s="2"/>
      <c r="X56" s="2"/>
      <c r="Y56" s="2"/>
      <c r="Z56" s="2"/>
    </row>
    <row r="57" spans="3:26" s="1" customFormat="1" ht="27">
      <c r="C57" s="3"/>
      <c r="F57" s="5"/>
      <c r="G57" s="5"/>
      <c r="H57" s="6"/>
      <c r="I57" s="6"/>
      <c r="U57" s="2"/>
      <c r="V57" s="2"/>
      <c r="W57" s="2"/>
      <c r="X57" s="2"/>
      <c r="Y57" s="2"/>
      <c r="Z57" s="2"/>
    </row>
    <row r="58" spans="3:26" s="1" customFormat="1" ht="27">
      <c r="C58" s="3"/>
      <c r="F58" s="5"/>
      <c r="G58" s="5"/>
      <c r="H58" s="6"/>
      <c r="I58" s="6"/>
      <c r="U58" s="2"/>
      <c r="V58" s="2"/>
      <c r="W58" s="2"/>
      <c r="X58" s="2"/>
      <c r="Y58" s="2"/>
      <c r="Z58" s="2"/>
    </row>
    <row r="59" spans="3:26" s="1" customFormat="1" ht="27">
      <c r="C59" s="3"/>
      <c r="F59" s="5"/>
      <c r="G59" s="5"/>
      <c r="H59" s="6"/>
      <c r="I59" s="6"/>
      <c r="U59" s="2"/>
      <c r="V59" s="2"/>
      <c r="W59" s="2"/>
      <c r="X59" s="2"/>
      <c r="Y59" s="2"/>
      <c r="Z59" s="2"/>
    </row>
    <row r="60" spans="3:26" s="1" customFormat="1" ht="27">
      <c r="C60" s="3"/>
      <c r="F60" s="5"/>
      <c r="G60" s="5"/>
      <c r="H60" s="6"/>
      <c r="I60" s="6"/>
      <c r="U60" s="2"/>
      <c r="V60" s="2"/>
      <c r="W60" s="2"/>
      <c r="X60" s="2"/>
      <c r="Y60" s="2"/>
      <c r="Z60" s="2"/>
    </row>
    <row r="61" spans="3:26" s="1" customFormat="1" ht="27">
      <c r="C61" s="3"/>
      <c r="F61" s="5"/>
      <c r="G61" s="5"/>
      <c r="H61" s="6"/>
      <c r="I61" s="6"/>
      <c r="U61" s="2"/>
      <c r="V61" s="2"/>
      <c r="W61" s="2"/>
      <c r="X61" s="2"/>
      <c r="Y61" s="2"/>
      <c r="Z61" s="2"/>
    </row>
    <row r="62" spans="3:26" s="1" customFormat="1" ht="27">
      <c r="C62" s="3"/>
      <c r="F62" s="5"/>
      <c r="G62" s="5"/>
      <c r="H62" s="6"/>
      <c r="I62" s="6"/>
      <c r="U62" s="2"/>
      <c r="V62" s="2"/>
      <c r="W62" s="2"/>
      <c r="X62" s="2"/>
      <c r="Y62" s="2"/>
      <c r="Z62" s="2"/>
    </row>
    <row r="63" spans="3:26" s="1" customFormat="1" ht="27">
      <c r="C63" s="3"/>
      <c r="F63" s="5"/>
      <c r="G63" s="5"/>
      <c r="H63" s="6"/>
      <c r="I63" s="6"/>
      <c r="U63" s="2"/>
      <c r="V63" s="2"/>
      <c r="W63" s="2"/>
      <c r="X63" s="2"/>
      <c r="Y63" s="2"/>
      <c r="Z63" s="2"/>
    </row>
    <row r="64" spans="3:26" s="1" customFormat="1" ht="27">
      <c r="C64" s="3"/>
      <c r="F64" s="5"/>
      <c r="G64" s="5"/>
      <c r="H64" s="6"/>
      <c r="I64" s="6"/>
      <c r="U64" s="2"/>
      <c r="V64" s="2"/>
      <c r="W64" s="2"/>
      <c r="X64" s="2"/>
      <c r="Y64" s="2"/>
      <c r="Z64" s="2"/>
    </row>
    <row r="65" spans="3:26" s="1" customFormat="1" ht="27">
      <c r="C65" s="3"/>
      <c r="F65" s="5"/>
      <c r="G65" s="5"/>
      <c r="H65" s="6"/>
      <c r="I65" s="6"/>
      <c r="U65" s="2"/>
      <c r="V65" s="2"/>
      <c r="W65" s="2"/>
      <c r="X65" s="2"/>
      <c r="Y65" s="2"/>
      <c r="Z65" s="2"/>
    </row>
    <row r="66" spans="3:26" s="1" customFormat="1" ht="27">
      <c r="C66" s="3"/>
      <c r="F66" s="5"/>
      <c r="G66" s="5"/>
      <c r="H66" s="6"/>
      <c r="I66" s="6"/>
      <c r="U66" s="2"/>
      <c r="V66" s="2"/>
      <c r="W66" s="2"/>
      <c r="X66" s="2"/>
      <c r="Y66" s="2"/>
      <c r="Z66" s="2"/>
    </row>
    <row r="67" spans="3:26" s="1" customFormat="1" ht="27">
      <c r="C67" s="3"/>
      <c r="F67" s="5"/>
      <c r="G67" s="5"/>
      <c r="H67" s="6"/>
      <c r="I67" s="6"/>
      <c r="U67" s="2"/>
      <c r="V67" s="2"/>
      <c r="W67" s="2"/>
      <c r="X67" s="2"/>
      <c r="Y67" s="2"/>
      <c r="Z67" s="2"/>
    </row>
    <row r="68" spans="3:26" s="1" customFormat="1" ht="27">
      <c r="C68" s="3"/>
      <c r="F68" s="5"/>
      <c r="G68" s="5"/>
      <c r="H68" s="6"/>
      <c r="I68" s="6"/>
      <c r="U68" s="2"/>
      <c r="V68" s="2"/>
      <c r="W68" s="2"/>
      <c r="X68" s="2"/>
      <c r="Y68" s="2"/>
      <c r="Z68" s="2"/>
    </row>
    <row r="69" spans="3:26" s="1" customFormat="1" ht="27">
      <c r="C69" s="3"/>
      <c r="F69" s="5"/>
      <c r="G69" s="5"/>
      <c r="H69" s="6"/>
      <c r="I69" s="6"/>
      <c r="U69" s="2"/>
      <c r="V69" s="2"/>
      <c r="W69" s="2"/>
      <c r="X69" s="2"/>
      <c r="Y69" s="2"/>
      <c r="Z69" s="2"/>
    </row>
    <row r="70" spans="6:26" s="1" customFormat="1" ht="27">
      <c r="F70" s="5"/>
      <c r="G70" s="5"/>
      <c r="H70" s="6"/>
      <c r="I70" s="6"/>
      <c r="U70" s="2"/>
      <c r="V70" s="2"/>
      <c r="W70" s="2"/>
      <c r="X70" s="2"/>
      <c r="Y70" s="2"/>
      <c r="Z70" s="2"/>
    </row>
    <row r="71" spans="6:26" s="1" customFormat="1" ht="27">
      <c r="F71" s="5"/>
      <c r="G71" s="5"/>
      <c r="H71" s="6"/>
      <c r="I71" s="6"/>
      <c r="U71" s="2"/>
      <c r="V71" s="2"/>
      <c r="W71" s="2"/>
      <c r="X71" s="2"/>
      <c r="Y71" s="2"/>
      <c r="Z71" s="2"/>
    </row>
    <row r="72" spans="6:26" s="1" customFormat="1" ht="27">
      <c r="F72" s="5"/>
      <c r="G72" s="5"/>
      <c r="H72" s="6"/>
      <c r="I72" s="6"/>
      <c r="U72" s="2"/>
      <c r="V72" s="2"/>
      <c r="W72" s="2"/>
      <c r="X72" s="2"/>
      <c r="Y72" s="2"/>
      <c r="Z72" s="2"/>
    </row>
    <row r="73" spans="6:26" s="1" customFormat="1" ht="27">
      <c r="F73" s="5"/>
      <c r="G73" s="5"/>
      <c r="H73" s="6"/>
      <c r="I73" s="6"/>
      <c r="U73" s="2"/>
      <c r="V73" s="2"/>
      <c r="W73" s="2"/>
      <c r="X73" s="2"/>
      <c r="Y73" s="2"/>
      <c r="Z73" s="2"/>
    </row>
    <row r="74" spans="6:26" s="1" customFormat="1" ht="27">
      <c r="F74" s="5"/>
      <c r="G74" s="5"/>
      <c r="H74" s="6"/>
      <c r="I74" s="6"/>
      <c r="U74" s="2"/>
      <c r="V74" s="2"/>
      <c r="W74" s="2"/>
      <c r="X74" s="2"/>
      <c r="Y74" s="2"/>
      <c r="Z74" s="2"/>
    </row>
    <row r="75" spans="6:26" s="1" customFormat="1" ht="27">
      <c r="F75" s="5"/>
      <c r="G75" s="5"/>
      <c r="H75" s="6"/>
      <c r="I75" s="6"/>
      <c r="U75" s="2"/>
      <c r="V75" s="2"/>
      <c r="W75" s="2"/>
      <c r="X75" s="2"/>
      <c r="Y75" s="2"/>
      <c r="Z75" s="2"/>
    </row>
    <row r="76" spans="6:26" s="1" customFormat="1" ht="27">
      <c r="F76" s="5"/>
      <c r="G76" s="5"/>
      <c r="H76" s="6"/>
      <c r="I76" s="6"/>
      <c r="U76" s="2"/>
      <c r="V76" s="2"/>
      <c r="W76" s="2"/>
      <c r="X76" s="2"/>
      <c r="Y76" s="2"/>
      <c r="Z76" s="2"/>
    </row>
    <row r="77" spans="6:26" s="1" customFormat="1" ht="27">
      <c r="F77" s="5"/>
      <c r="G77" s="5"/>
      <c r="H77" s="6"/>
      <c r="I77" s="6"/>
      <c r="U77" s="2"/>
      <c r="V77" s="2"/>
      <c r="W77" s="2"/>
      <c r="X77" s="2"/>
      <c r="Y77" s="2"/>
      <c r="Z77" s="2"/>
    </row>
    <row r="78" spans="6:26" s="1" customFormat="1" ht="27">
      <c r="F78" s="5"/>
      <c r="G78" s="5"/>
      <c r="H78" s="6"/>
      <c r="I78" s="6"/>
      <c r="U78" s="2"/>
      <c r="V78" s="2"/>
      <c r="W78" s="2"/>
      <c r="X78" s="2"/>
      <c r="Y78" s="2"/>
      <c r="Z78" s="2"/>
    </row>
    <row r="79" spans="6:26" s="1" customFormat="1" ht="27">
      <c r="F79" s="5"/>
      <c r="G79" s="5"/>
      <c r="H79" s="6"/>
      <c r="I79" s="6"/>
      <c r="U79" s="2"/>
      <c r="V79" s="2"/>
      <c r="W79" s="2"/>
      <c r="X79" s="2"/>
      <c r="Y79" s="2"/>
      <c r="Z79" s="2"/>
    </row>
    <row r="80" spans="6:26" s="1" customFormat="1" ht="27">
      <c r="F80" s="5"/>
      <c r="G80" s="5"/>
      <c r="H80" s="6"/>
      <c r="I80" s="6"/>
      <c r="U80" s="2"/>
      <c r="V80" s="2"/>
      <c r="W80" s="2"/>
      <c r="X80" s="2"/>
      <c r="Y80" s="2"/>
      <c r="Z80" s="2"/>
    </row>
    <row r="81" spans="6:26" s="1" customFormat="1" ht="27">
      <c r="F81" s="5"/>
      <c r="G81" s="5"/>
      <c r="H81" s="6"/>
      <c r="I81" s="6"/>
      <c r="U81" s="2"/>
      <c r="V81" s="2"/>
      <c r="W81" s="2"/>
      <c r="X81" s="2"/>
      <c r="Y81" s="2"/>
      <c r="Z81" s="2"/>
    </row>
    <row r="82" spans="6:26" s="1" customFormat="1" ht="27">
      <c r="F82" s="5"/>
      <c r="G82" s="5"/>
      <c r="H82" s="6"/>
      <c r="I82" s="6"/>
      <c r="U82" s="2"/>
      <c r="V82" s="2"/>
      <c r="W82" s="2"/>
      <c r="X82" s="2"/>
      <c r="Y82" s="2"/>
      <c r="Z82" s="2"/>
    </row>
    <row r="83" spans="6:26" s="1" customFormat="1" ht="27">
      <c r="F83" s="5"/>
      <c r="G83" s="5"/>
      <c r="H83" s="6"/>
      <c r="I83" s="6"/>
      <c r="U83" s="2"/>
      <c r="V83" s="2"/>
      <c r="W83" s="2"/>
      <c r="X83" s="2"/>
      <c r="Y83" s="2"/>
      <c r="Z83" s="2"/>
    </row>
    <row r="84" spans="6:26" s="1" customFormat="1" ht="27">
      <c r="F84" s="5"/>
      <c r="G84" s="5"/>
      <c r="H84" s="6"/>
      <c r="I84" s="6"/>
      <c r="U84" s="2"/>
      <c r="V84" s="2"/>
      <c r="W84" s="2"/>
      <c r="X84" s="2"/>
      <c r="Y84" s="2"/>
      <c r="Z84" s="2"/>
    </row>
    <row r="85" spans="6:26" s="1" customFormat="1" ht="27">
      <c r="F85" s="5"/>
      <c r="G85" s="5"/>
      <c r="H85" s="6"/>
      <c r="I85" s="6"/>
      <c r="U85" s="2"/>
      <c r="V85" s="2"/>
      <c r="W85" s="2"/>
      <c r="X85" s="2"/>
      <c r="Y85" s="2"/>
      <c r="Z85" s="2"/>
    </row>
    <row r="86" spans="6:26" s="1" customFormat="1" ht="27">
      <c r="F86" s="5"/>
      <c r="G86" s="5"/>
      <c r="H86" s="6"/>
      <c r="I86" s="6"/>
      <c r="U86" s="2"/>
      <c r="V86" s="2"/>
      <c r="W86" s="2"/>
      <c r="X86" s="2"/>
      <c r="Y86" s="2"/>
      <c r="Z86" s="2"/>
    </row>
    <row r="87" spans="6:26" s="1" customFormat="1" ht="27">
      <c r="F87" s="5"/>
      <c r="G87" s="5"/>
      <c r="H87" s="6"/>
      <c r="I87" s="6"/>
      <c r="U87" s="2"/>
      <c r="V87" s="2"/>
      <c r="W87" s="2"/>
      <c r="X87" s="2"/>
      <c r="Y87" s="2"/>
      <c r="Z87" s="2"/>
    </row>
    <row r="88" spans="6:26" s="1" customFormat="1" ht="27">
      <c r="F88" s="5"/>
      <c r="G88" s="5"/>
      <c r="H88" s="6"/>
      <c r="I88" s="6"/>
      <c r="U88" s="2"/>
      <c r="V88" s="2"/>
      <c r="W88" s="2"/>
      <c r="X88" s="2"/>
      <c r="Y88" s="2"/>
      <c r="Z88" s="2"/>
    </row>
    <row r="89" spans="6:26" s="1" customFormat="1" ht="27">
      <c r="F89" s="5"/>
      <c r="G89" s="5"/>
      <c r="H89" s="6"/>
      <c r="I89" s="6"/>
      <c r="U89" s="2"/>
      <c r="V89" s="2"/>
      <c r="W89" s="2"/>
      <c r="X89" s="2"/>
      <c r="Y89" s="2"/>
      <c r="Z89" s="2"/>
    </row>
    <row r="90" spans="6:26" s="1" customFormat="1" ht="27">
      <c r="F90" s="5"/>
      <c r="G90" s="5"/>
      <c r="H90" s="6"/>
      <c r="I90" s="6"/>
      <c r="U90" s="2"/>
      <c r="V90" s="2"/>
      <c r="W90" s="2"/>
      <c r="X90" s="2"/>
      <c r="Y90" s="2"/>
      <c r="Z90" s="2"/>
    </row>
    <row r="91" spans="6:26" s="1" customFormat="1" ht="27">
      <c r="F91" s="5"/>
      <c r="G91" s="5"/>
      <c r="H91" s="6"/>
      <c r="I91" s="6"/>
      <c r="U91" s="2"/>
      <c r="V91" s="2"/>
      <c r="W91" s="2"/>
      <c r="X91" s="2"/>
      <c r="Y91" s="2"/>
      <c r="Z91" s="2"/>
    </row>
    <row r="92" spans="6:26" s="1" customFormat="1" ht="27">
      <c r="F92" s="5"/>
      <c r="G92" s="5"/>
      <c r="H92" s="6"/>
      <c r="I92" s="6"/>
      <c r="U92" s="2"/>
      <c r="V92" s="2"/>
      <c r="W92" s="2"/>
      <c r="X92" s="2"/>
      <c r="Y92" s="2"/>
      <c r="Z92" s="2"/>
    </row>
    <row r="93" spans="6:26" s="1" customFormat="1" ht="27">
      <c r="F93" s="5"/>
      <c r="G93" s="5"/>
      <c r="H93" s="6"/>
      <c r="I93" s="6"/>
      <c r="U93" s="2"/>
      <c r="V93" s="2"/>
      <c r="W93" s="2"/>
      <c r="X93" s="2"/>
      <c r="Y93" s="2"/>
      <c r="Z93" s="2"/>
    </row>
    <row r="94" spans="6:26" s="1" customFormat="1" ht="27">
      <c r="F94" s="5"/>
      <c r="G94" s="5"/>
      <c r="H94" s="6"/>
      <c r="I94" s="6"/>
      <c r="U94" s="2"/>
      <c r="V94" s="2"/>
      <c r="W94" s="2"/>
      <c r="X94" s="2"/>
      <c r="Y94" s="2"/>
      <c r="Z94" s="2"/>
    </row>
    <row r="95" spans="6:26" s="1" customFormat="1" ht="27">
      <c r="F95" s="5"/>
      <c r="G95" s="5"/>
      <c r="H95" s="6"/>
      <c r="I95" s="6"/>
      <c r="U95" s="2"/>
      <c r="V95" s="2"/>
      <c r="W95" s="2"/>
      <c r="X95" s="2"/>
      <c r="Y95" s="2"/>
      <c r="Z95" s="2"/>
    </row>
    <row r="96" spans="6:26" s="1" customFormat="1" ht="27">
      <c r="F96" s="5"/>
      <c r="G96" s="5"/>
      <c r="H96" s="6"/>
      <c r="I96" s="6"/>
      <c r="U96" s="2"/>
      <c r="V96" s="2"/>
      <c r="W96" s="2"/>
      <c r="X96" s="2"/>
      <c r="Y96" s="2"/>
      <c r="Z96" s="2"/>
    </row>
    <row r="97" spans="6:26" s="1" customFormat="1" ht="27">
      <c r="F97" s="5"/>
      <c r="G97" s="5"/>
      <c r="H97" s="6"/>
      <c r="I97" s="6"/>
      <c r="U97" s="2"/>
      <c r="V97" s="2"/>
      <c r="W97" s="2"/>
      <c r="X97" s="2"/>
      <c r="Y97" s="2"/>
      <c r="Z97" s="2"/>
    </row>
    <row r="98" spans="6:26" s="1" customFormat="1" ht="27">
      <c r="F98" s="5"/>
      <c r="G98" s="5"/>
      <c r="H98" s="6"/>
      <c r="I98" s="6"/>
      <c r="U98" s="2"/>
      <c r="V98" s="2"/>
      <c r="W98" s="2"/>
      <c r="X98" s="2"/>
      <c r="Y98" s="2"/>
      <c r="Z98" s="2"/>
    </row>
    <row r="99" spans="6:26" s="1" customFormat="1" ht="27">
      <c r="F99" s="5"/>
      <c r="G99" s="5"/>
      <c r="H99" s="6"/>
      <c r="I99" s="6"/>
      <c r="U99" s="2"/>
      <c r="V99" s="2"/>
      <c r="W99" s="2"/>
      <c r="X99" s="2"/>
      <c r="Y99" s="2"/>
      <c r="Z99" s="2"/>
    </row>
    <row r="100" spans="6:26" s="1" customFormat="1" ht="27">
      <c r="F100" s="5"/>
      <c r="G100" s="5"/>
      <c r="H100" s="6"/>
      <c r="I100" s="6"/>
      <c r="U100" s="2"/>
      <c r="V100" s="2"/>
      <c r="W100" s="2"/>
      <c r="X100" s="2"/>
      <c r="Y100" s="2"/>
      <c r="Z100" s="2"/>
    </row>
    <row r="101" spans="6:26" s="1" customFormat="1" ht="27">
      <c r="F101" s="5"/>
      <c r="G101" s="5"/>
      <c r="H101" s="6"/>
      <c r="I101" s="6"/>
      <c r="U101" s="2"/>
      <c r="V101" s="2"/>
      <c r="W101" s="2"/>
      <c r="X101" s="2"/>
      <c r="Y101" s="2"/>
      <c r="Z101" s="2"/>
    </row>
    <row r="102" spans="6:26" s="1" customFormat="1" ht="27">
      <c r="F102" s="5"/>
      <c r="G102" s="5"/>
      <c r="H102" s="6"/>
      <c r="I102" s="6"/>
      <c r="U102" s="2"/>
      <c r="V102" s="2"/>
      <c r="W102" s="2"/>
      <c r="X102" s="2"/>
      <c r="Y102" s="2"/>
      <c r="Z102" s="2"/>
    </row>
    <row r="103" spans="6:26" s="1" customFormat="1" ht="27">
      <c r="F103" s="5"/>
      <c r="G103" s="5"/>
      <c r="H103" s="6"/>
      <c r="I103" s="6"/>
      <c r="U103" s="2"/>
      <c r="V103" s="2"/>
      <c r="W103" s="2"/>
      <c r="X103" s="2"/>
      <c r="Y103" s="2"/>
      <c r="Z103" s="2"/>
    </row>
    <row r="104" spans="6:26" s="1" customFormat="1" ht="27">
      <c r="F104" s="5"/>
      <c r="G104" s="5"/>
      <c r="H104" s="6"/>
      <c r="I104" s="6"/>
      <c r="U104" s="2"/>
      <c r="V104" s="2"/>
      <c r="W104" s="2"/>
      <c r="X104" s="2"/>
      <c r="Y104" s="2"/>
      <c r="Z104" s="2"/>
    </row>
    <row r="105" spans="6:26" s="1" customFormat="1" ht="27">
      <c r="F105" s="5"/>
      <c r="G105" s="5"/>
      <c r="H105" s="6"/>
      <c r="I105" s="6"/>
      <c r="U105" s="2"/>
      <c r="V105" s="2"/>
      <c r="W105" s="2"/>
      <c r="X105" s="2"/>
      <c r="Y105" s="2"/>
      <c r="Z105" s="2"/>
    </row>
    <row r="106" spans="6:26" s="1" customFormat="1" ht="27">
      <c r="F106" s="5"/>
      <c r="G106" s="5"/>
      <c r="H106" s="6"/>
      <c r="I106" s="6"/>
      <c r="U106" s="2"/>
      <c r="V106" s="2"/>
      <c r="W106" s="2"/>
      <c r="X106" s="2"/>
      <c r="Y106" s="2"/>
      <c r="Z106" s="2"/>
    </row>
    <row r="107" spans="6:26" s="1" customFormat="1" ht="27">
      <c r="F107" s="5"/>
      <c r="G107" s="5"/>
      <c r="H107" s="6"/>
      <c r="I107" s="6"/>
      <c r="U107" s="2"/>
      <c r="V107" s="2"/>
      <c r="W107" s="2"/>
      <c r="X107" s="2"/>
      <c r="Y107" s="2"/>
      <c r="Z107" s="2"/>
    </row>
    <row r="108" spans="6:26" s="1" customFormat="1" ht="27">
      <c r="F108" s="5"/>
      <c r="G108" s="5"/>
      <c r="H108" s="6"/>
      <c r="I108" s="6"/>
      <c r="U108" s="2"/>
      <c r="V108" s="2"/>
      <c r="W108" s="2"/>
      <c r="X108" s="2"/>
      <c r="Y108" s="2"/>
      <c r="Z108" s="2"/>
    </row>
    <row r="109" spans="6:26" s="1" customFormat="1" ht="27">
      <c r="F109" s="5"/>
      <c r="G109" s="5"/>
      <c r="H109" s="6"/>
      <c r="I109" s="6"/>
      <c r="U109" s="2"/>
      <c r="V109" s="2"/>
      <c r="W109" s="2"/>
      <c r="X109" s="2"/>
      <c r="Y109" s="2"/>
      <c r="Z109" s="2"/>
    </row>
    <row r="110" spans="6:26" s="1" customFormat="1" ht="27">
      <c r="F110" s="5"/>
      <c r="G110" s="5"/>
      <c r="H110" s="6"/>
      <c r="I110" s="6"/>
      <c r="U110" s="2"/>
      <c r="V110" s="2"/>
      <c r="W110" s="2"/>
      <c r="X110" s="2"/>
      <c r="Y110" s="2"/>
      <c r="Z110" s="2"/>
    </row>
    <row r="111" spans="6:26" s="1" customFormat="1" ht="27">
      <c r="F111" s="5"/>
      <c r="G111" s="5"/>
      <c r="H111" s="6"/>
      <c r="I111" s="6"/>
      <c r="U111" s="2"/>
      <c r="V111" s="2"/>
      <c r="W111" s="2"/>
      <c r="X111" s="2"/>
      <c r="Y111" s="2"/>
      <c r="Z111" s="2"/>
    </row>
    <row r="112" spans="6:26" s="1" customFormat="1" ht="27">
      <c r="F112" s="5"/>
      <c r="G112" s="5"/>
      <c r="H112" s="6"/>
      <c r="I112" s="6"/>
      <c r="U112" s="2"/>
      <c r="V112" s="2"/>
      <c r="W112" s="2"/>
      <c r="X112" s="2"/>
      <c r="Y112" s="2"/>
      <c r="Z112" s="2"/>
    </row>
    <row r="113" spans="6:26" s="1" customFormat="1" ht="27">
      <c r="F113" s="5"/>
      <c r="G113" s="5"/>
      <c r="H113" s="6"/>
      <c r="I113" s="6"/>
      <c r="U113" s="2"/>
      <c r="V113" s="2"/>
      <c r="W113" s="2"/>
      <c r="X113" s="2"/>
      <c r="Y113" s="2"/>
      <c r="Z113" s="2"/>
    </row>
    <row r="114" spans="6:26" s="1" customFormat="1" ht="27">
      <c r="F114" s="5"/>
      <c r="G114" s="5"/>
      <c r="H114" s="6"/>
      <c r="I114" s="6"/>
      <c r="U114" s="2"/>
      <c r="V114" s="2"/>
      <c r="W114" s="2"/>
      <c r="X114" s="2"/>
      <c r="Y114" s="2"/>
      <c r="Z114" s="2"/>
    </row>
    <row r="115" spans="6:26" s="1" customFormat="1" ht="27">
      <c r="F115" s="5"/>
      <c r="G115" s="5"/>
      <c r="H115" s="6"/>
      <c r="I115" s="6"/>
      <c r="U115" s="2"/>
      <c r="V115" s="2"/>
      <c r="W115" s="2"/>
      <c r="X115" s="2"/>
      <c r="Y115" s="2"/>
      <c r="Z115" s="2"/>
    </row>
    <row r="116" spans="6:26" s="1" customFormat="1" ht="27">
      <c r="F116" s="5"/>
      <c r="G116" s="5"/>
      <c r="H116" s="6"/>
      <c r="I116" s="6"/>
      <c r="U116" s="2"/>
      <c r="V116" s="2"/>
      <c r="W116" s="2"/>
      <c r="X116" s="2"/>
      <c r="Y116" s="2"/>
      <c r="Z116" s="2"/>
    </row>
    <row r="117" spans="6:26" s="1" customFormat="1" ht="27">
      <c r="F117" s="5"/>
      <c r="G117" s="5"/>
      <c r="H117" s="6"/>
      <c r="I117" s="6"/>
      <c r="U117" s="2"/>
      <c r="V117" s="2"/>
      <c r="W117" s="2"/>
      <c r="X117" s="2"/>
      <c r="Y117" s="2"/>
      <c r="Z117" s="2"/>
    </row>
    <row r="118" spans="6:26" s="1" customFormat="1" ht="27">
      <c r="F118" s="5"/>
      <c r="G118" s="5"/>
      <c r="H118" s="6"/>
      <c r="I118" s="6"/>
      <c r="U118" s="2"/>
      <c r="V118" s="2"/>
      <c r="W118" s="2"/>
      <c r="X118" s="2"/>
      <c r="Y118" s="2"/>
      <c r="Z118" s="2"/>
    </row>
    <row r="119" spans="6:26" s="1" customFormat="1" ht="27">
      <c r="F119" s="5"/>
      <c r="G119" s="5"/>
      <c r="H119" s="6"/>
      <c r="I119" s="6"/>
      <c r="U119" s="2"/>
      <c r="V119" s="2"/>
      <c r="W119" s="2"/>
      <c r="X119" s="2"/>
      <c r="Y119" s="2"/>
      <c r="Z119" s="2"/>
    </row>
    <row r="120" spans="6:26" s="1" customFormat="1" ht="27">
      <c r="F120" s="5"/>
      <c r="G120" s="5"/>
      <c r="H120" s="6"/>
      <c r="I120" s="6"/>
      <c r="U120" s="2"/>
      <c r="V120" s="2"/>
      <c r="W120" s="2"/>
      <c r="X120" s="2"/>
      <c r="Y120" s="2"/>
      <c r="Z120" s="2"/>
    </row>
    <row r="121" spans="6:26" s="1" customFormat="1" ht="27">
      <c r="F121" s="5"/>
      <c r="G121" s="5"/>
      <c r="H121" s="6"/>
      <c r="I121" s="6"/>
      <c r="U121" s="2"/>
      <c r="V121" s="2"/>
      <c r="W121" s="2"/>
      <c r="X121" s="2"/>
      <c r="Y121" s="2"/>
      <c r="Z121" s="2"/>
    </row>
    <row r="122" spans="6:26" s="1" customFormat="1" ht="27">
      <c r="F122" s="5"/>
      <c r="G122" s="5"/>
      <c r="H122" s="6"/>
      <c r="I122" s="6"/>
      <c r="U122" s="2"/>
      <c r="V122" s="2"/>
      <c r="W122" s="2"/>
      <c r="X122" s="2"/>
      <c r="Y122" s="2"/>
      <c r="Z122" s="2"/>
    </row>
    <row r="123" spans="6:26" s="1" customFormat="1" ht="27">
      <c r="F123" s="5"/>
      <c r="G123" s="5"/>
      <c r="H123" s="6"/>
      <c r="I123" s="6"/>
      <c r="U123" s="2"/>
      <c r="V123" s="2"/>
      <c r="W123" s="2"/>
      <c r="X123" s="2"/>
      <c r="Y123" s="2"/>
      <c r="Z123" s="2"/>
    </row>
    <row r="124" spans="6:26" s="1" customFormat="1" ht="27">
      <c r="F124" s="5"/>
      <c r="G124" s="5"/>
      <c r="H124" s="6"/>
      <c r="I124" s="6"/>
      <c r="U124" s="2"/>
      <c r="V124" s="2"/>
      <c r="W124" s="2"/>
      <c r="X124" s="2"/>
      <c r="Y124" s="2"/>
      <c r="Z124" s="2"/>
    </row>
    <row r="125" spans="6:26" s="1" customFormat="1" ht="27">
      <c r="F125" s="5"/>
      <c r="G125" s="5"/>
      <c r="H125" s="6"/>
      <c r="I125" s="6"/>
      <c r="U125" s="2"/>
      <c r="V125" s="2"/>
      <c r="W125" s="2"/>
      <c r="X125" s="2"/>
      <c r="Y125" s="2"/>
      <c r="Z125" s="2"/>
    </row>
    <row r="126" spans="6:26" s="1" customFormat="1" ht="27">
      <c r="F126" s="5"/>
      <c r="G126" s="5"/>
      <c r="H126" s="6"/>
      <c r="I126" s="6"/>
      <c r="U126" s="2"/>
      <c r="V126" s="2"/>
      <c r="W126" s="2"/>
      <c r="X126" s="2"/>
      <c r="Y126" s="2"/>
      <c r="Z126" s="2"/>
    </row>
    <row r="127" spans="6:26" s="1" customFormat="1" ht="27">
      <c r="F127" s="5"/>
      <c r="G127" s="5"/>
      <c r="H127" s="6"/>
      <c r="I127" s="6"/>
      <c r="U127" s="2"/>
      <c r="V127" s="2"/>
      <c r="W127" s="2"/>
      <c r="X127" s="2"/>
      <c r="Y127" s="2"/>
      <c r="Z127" s="2"/>
    </row>
    <row r="128" spans="6:26" s="1" customFormat="1" ht="27">
      <c r="F128" s="5"/>
      <c r="G128" s="5"/>
      <c r="H128" s="6"/>
      <c r="I128" s="6"/>
      <c r="U128" s="2"/>
      <c r="V128" s="2"/>
      <c r="W128" s="2"/>
      <c r="X128" s="2"/>
      <c r="Y128" s="2"/>
      <c r="Z128" s="2"/>
    </row>
    <row r="129" spans="6:26" s="1" customFormat="1" ht="27">
      <c r="F129" s="5"/>
      <c r="G129" s="5"/>
      <c r="H129" s="6"/>
      <c r="I129" s="6"/>
      <c r="U129" s="2"/>
      <c r="V129" s="2"/>
      <c r="W129" s="2"/>
      <c r="X129" s="2"/>
      <c r="Y129" s="2"/>
      <c r="Z129" s="2"/>
    </row>
    <row r="130" spans="6:26" s="1" customFormat="1" ht="27">
      <c r="F130" s="5"/>
      <c r="G130" s="5"/>
      <c r="H130" s="6"/>
      <c r="I130" s="6"/>
      <c r="U130" s="2"/>
      <c r="V130" s="2"/>
      <c r="W130" s="2"/>
      <c r="X130" s="2"/>
      <c r="Y130" s="2"/>
      <c r="Z130" s="2"/>
    </row>
    <row r="131" spans="6:26" s="1" customFormat="1" ht="27">
      <c r="F131" s="5"/>
      <c r="G131" s="5"/>
      <c r="H131" s="6"/>
      <c r="I131" s="6"/>
      <c r="U131" s="2"/>
      <c r="V131" s="2"/>
      <c r="W131" s="2"/>
      <c r="X131" s="2"/>
      <c r="Y131" s="2"/>
      <c r="Z131" s="2"/>
    </row>
    <row r="132" spans="6:26" s="1" customFormat="1" ht="27">
      <c r="F132" s="5"/>
      <c r="G132" s="5"/>
      <c r="H132" s="6"/>
      <c r="I132" s="6"/>
      <c r="U132" s="2"/>
      <c r="V132" s="2"/>
      <c r="W132" s="2"/>
      <c r="X132" s="2"/>
      <c r="Y132" s="2"/>
      <c r="Z132" s="2"/>
    </row>
    <row r="133" spans="6:26" s="1" customFormat="1" ht="27">
      <c r="F133" s="5"/>
      <c r="G133" s="5"/>
      <c r="H133" s="6"/>
      <c r="I133" s="6"/>
      <c r="U133" s="2"/>
      <c r="V133" s="2"/>
      <c r="W133" s="2"/>
      <c r="X133" s="2"/>
      <c r="Y133" s="2"/>
      <c r="Z133" s="2"/>
    </row>
    <row r="134" spans="6:26" s="1" customFormat="1" ht="27">
      <c r="F134" s="5"/>
      <c r="G134" s="5"/>
      <c r="H134" s="6"/>
      <c r="I134" s="6"/>
      <c r="U134" s="2"/>
      <c r="V134" s="2"/>
      <c r="W134" s="2"/>
      <c r="X134" s="2"/>
      <c r="Y134" s="2"/>
      <c r="Z134" s="2"/>
    </row>
    <row r="135" spans="6:26" s="1" customFormat="1" ht="27">
      <c r="F135" s="5"/>
      <c r="G135" s="5"/>
      <c r="H135" s="6"/>
      <c r="I135" s="6"/>
      <c r="U135" s="2"/>
      <c r="V135" s="2"/>
      <c r="W135" s="2"/>
      <c r="X135" s="2"/>
      <c r="Y135" s="2"/>
      <c r="Z135" s="2"/>
    </row>
    <row r="136" spans="6:26" s="1" customFormat="1" ht="27">
      <c r="F136" s="5"/>
      <c r="G136" s="5"/>
      <c r="H136" s="6"/>
      <c r="I136" s="6"/>
      <c r="U136" s="2"/>
      <c r="V136" s="2"/>
      <c r="W136" s="2"/>
      <c r="X136" s="2"/>
      <c r="Y136" s="2"/>
      <c r="Z136" s="2"/>
    </row>
    <row r="137" spans="6:26" s="1" customFormat="1" ht="27">
      <c r="F137" s="5"/>
      <c r="G137" s="5"/>
      <c r="H137" s="6"/>
      <c r="I137" s="6"/>
      <c r="U137" s="2"/>
      <c r="V137" s="2"/>
      <c r="W137" s="2"/>
      <c r="X137" s="2"/>
      <c r="Y137" s="2"/>
      <c r="Z137" s="2"/>
    </row>
    <row r="138" spans="6:26" s="1" customFormat="1" ht="27">
      <c r="F138" s="5"/>
      <c r="G138" s="5"/>
      <c r="H138" s="6"/>
      <c r="I138" s="6"/>
      <c r="U138" s="2"/>
      <c r="V138" s="2"/>
      <c r="W138" s="2"/>
      <c r="X138" s="2"/>
      <c r="Y138" s="2"/>
      <c r="Z138" s="2"/>
    </row>
    <row r="139" spans="6:26" s="1" customFormat="1" ht="27">
      <c r="F139" s="5"/>
      <c r="G139" s="5"/>
      <c r="H139" s="6"/>
      <c r="I139" s="6"/>
      <c r="U139" s="2"/>
      <c r="V139" s="2"/>
      <c r="W139" s="2"/>
      <c r="X139" s="2"/>
      <c r="Y139" s="2"/>
      <c r="Z139" s="2"/>
    </row>
    <row r="140" spans="6:26" s="1" customFormat="1" ht="27">
      <c r="F140" s="5"/>
      <c r="G140" s="5"/>
      <c r="H140" s="6"/>
      <c r="I140" s="6"/>
      <c r="U140" s="2"/>
      <c r="V140" s="2"/>
      <c r="W140" s="2"/>
      <c r="X140" s="2"/>
      <c r="Y140" s="2"/>
      <c r="Z140" s="2"/>
    </row>
    <row r="141" spans="6:26" s="1" customFormat="1" ht="27">
      <c r="F141" s="5"/>
      <c r="G141" s="5"/>
      <c r="H141" s="6"/>
      <c r="I141" s="6"/>
      <c r="U141" s="2"/>
      <c r="V141" s="2"/>
      <c r="W141" s="2"/>
      <c r="X141" s="2"/>
      <c r="Y141" s="2"/>
      <c r="Z141" s="2"/>
    </row>
    <row r="142" spans="6:26" s="1" customFormat="1" ht="27">
      <c r="F142" s="5"/>
      <c r="G142" s="5"/>
      <c r="H142" s="6"/>
      <c r="I142" s="6"/>
      <c r="U142" s="2"/>
      <c r="V142" s="2"/>
      <c r="W142" s="2"/>
      <c r="X142" s="2"/>
      <c r="Y142" s="2"/>
      <c r="Z142" s="2"/>
    </row>
    <row r="143" spans="6:26" s="1" customFormat="1" ht="27">
      <c r="F143" s="5"/>
      <c r="G143" s="5"/>
      <c r="H143" s="6"/>
      <c r="I143" s="6"/>
      <c r="U143" s="2"/>
      <c r="V143" s="2"/>
      <c r="W143" s="2"/>
      <c r="X143" s="2"/>
      <c r="Y143" s="2"/>
      <c r="Z143" s="2"/>
    </row>
    <row r="144" spans="6:26" s="1" customFormat="1" ht="27">
      <c r="F144" s="5"/>
      <c r="G144" s="5"/>
      <c r="H144" s="6"/>
      <c r="I144" s="6"/>
      <c r="U144" s="2"/>
      <c r="V144" s="2"/>
      <c r="W144" s="2"/>
      <c r="X144" s="2"/>
      <c r="Y144" s="2"/>
      <c r="Z144" s="2"/>
    </row>
    <row r="145" spans="6:26" s="1" customFormat="1" ht="27">
      <c r="F145" s="5"/>
      <c r="G145" s="5"/>
      <c r="H145" s="6"/>
      <c r="I145" s="6"/>
      <c r="U145" s="2"/>
      <c r="V145" s="2"/>
      <c r="W145" s="2"/>
      <c r="X145" s="2"/>
      <c r="Y145" s="2"/>
      <c r="Z145" s="2"/>
    </row>
    <row r="146" spans="6:26" s="1" customFormat="1" ht="27">
      <c r="F146" s="5"/>
      <c r="G146" s="5"/>
      <c r="H146" s="6"/>
      <c r="I146" s="6"/>
      <c r="U146" s="2"/>
      <c r="V146" s="2"/>
      <c r="W146" s="2"/>
      <c r="X146" s="2"/>
      <c r="Y146" s="2"/>
      <c r="Z146" s="2"/>
    </row>
    <row r="147" spans="6:26" s="1" customFormat="1" ht="27">
      <c r="F147" s="5"/>
      <c r="G147" s="5"/>
      <c r="H147" s="6"/>
      <c r="I147" s="6"/>
      <c r="U147" s="2"/>
      <c r="V147" s="2"/>
      <c r="W147" s="2"/>
      <c r="X147" s="2"/>
      <c r="Y147" s="2"/>
      <c r="Z147" s="2"/>
    </row>
    <row r="148" spans="6:26" s="1" customFormat="1" ht="27">
      <c r="F148" s="5"/>
      <c r="G148" s="5"/>
      <c r="H148" s="6"/>
      <c r="I148" s="6"/>
      <c r="U148" s="2"/>
      <c r="V148" s="2"/>
      <c r="W148" s="2"/>
      <c r="X148" s="2"/>
      <c r="Y148" s="2"/>
      <c r="Z148" s="2"/>
    </row>
    <row r="149" spans="6:26" s="1" customFormat="1" ht="27">
      <c r="F149" s="5"/>
      <c r="G149" s="5"/>
      <c r="H149" s="6"/>
      <c r="I149" s="6"/>
      <c r="U149" s="2"/>
      <c r="V149" s="2"/>
      <c r="W149" s="2"/>
      <c r="X149" s="2"/>
      <c r="Y149" s="2"/>
      <c r="Z149" s="2"/>
    </row>
    <row r="150" spans="6:26" s="1" customFormat="1" ht="27">
      <c r="F150" s="5"/>
      <c r="G150" s="5"/>
      <c r="H150" s="6"/>
      <c r="I150" s="6"/>
      <c r="U150" s="2"/>
      <c r="V150" s="2"/>
      <c r="W150" s="2"/>
      <c r="X150" s="2"/>
      <c r="Y150" s="2"/>
      <c r="Z150" s="2"/>
    </row>
    <row r="151" spans="6:26" s="1" customFormat="1" ht="27">
      <c r="F151" s="5"/>
      <c r="G151" s="5"/>
      <c r="H151" s="6"/>
      <c r="I151" s="6"/>
      <c r="U151" s="2"/>
      <c r="V151" s="2"/>
      <c r="W151" s="2"/>
      <c r="X151" s="2"/>
      <c r="Y151" s="2"/>
      <c r="Z151" s="2"/>
    </row>
    <row r="152" spans="6:26" s="1" customFormat="1" ht="27">
      <c r="F152" s="5"/>
      <c r="G152" s="5"/>
      <c r="H152" s="6"/>
      <c r="I152" s="6"/>
      <c r="U152" s="2"/>
      <c r="V152" s="2"/>
      <c r="W152" s="2"/>
      <c r="X152" s="2"/>
      <c r="Y152" s="2"/>
      <c r="Z152" s="2"/>
    </row>
    <row r="153" spans="6:26" s="1" customFormat="1" ht="27">
      <c r="F153" s="5"/>
      <c r="G153" s="5"/>
      <c r="H153" s="6"/>
      <c r="I153" s="6"/>
      <c r="U153" s="2"/>
      <c r="V153" s="2"/>
      <c r="W153" s="2"/>
      <c r="X153" s="2"/>
      <c r="Y153" s="2"/>
      <c r="Z153" s="2"/>
    </row>
    <row r="154" spans="6:26" s="1" customFormat="1" ht="27">
      <c r="F154" s="5"/>
      <c r="G154" s="5"/>
      <c r="H154" s="6"/>
      <c r="I154" s="6"/>
      <c r="U154" s="2"/>
      <c r="V154" s="2"/>
      <c r="W154" s="2"/>
      <c r="X154" s="2"/>
      <c r="Y154" s="2"/>
      <c r="Z154" s="2"/>
    </row>
    <row r="155" spans="6:26" s="1" customFormat="1" ht="27">
      <c r="F155" s="5"/>
      <c r="G155" s="5"/>
      <c r="H155" s="6"/>
      <c r="I155" s="6"/>
      <c r="U155" s="2"/>
      <c r="V155" s="2"/>
      <c r="W155" s="2"/>
      <c r="X155" s="2"/>
      <c r="Y155" s="2"/>
      <c r="Z155" s="2"/>
    </row>
    <row r="156" spans="6:26" s="1" customFormat="1" ht="27">
      <c r="F156" s="5"/>
      <c r="G156" s="5"/>
      <c r="H156" s="6"/>
      <c r="I156" s="6"/>
      <c r="U156" s="2"/>
      <c r="V156" s="2"/>
      <c r="W156" s="2"/>
      <c r="X156" s="2"/>
      <c r="Y156" s="2"/>
      <c r="Z156" s="2"/>
    </row>
    <row r="157" spans="6:26" s="1" customFormat="1" ht="27">
      <c r="F157" s="5"/>
      <c r="G157" s="5"/>
      <c r="H157" s="6"/>
      <c r="I157" s="6"/>
      <c r="U157" s="2"/>
      <c r="V157" s="2"/>
      <c r="W157" s="2"/>
      <c r="X157" s="2"/>
      <c r="Y157" s="2"/>
      <c r="Z157" s="2"/>
    </row>
    <row r="158" spans="6:26" s="1" customFormat="1" ht="27">
      <c r="F158" s="5"/>
      <c r="G158" s="5"/>
      <c r="H158" s="6"/>
      <c r="I158" s="6"/>
      <c r="U158" s="2"/>
      <c r="V158" s="2"/>
      <c r="W158" s="2"/>
      <c r="X158" s="2"/>
      <c r="Y158" s="2"/>
      <c r="Z158" s="2"/>
    </row>
    <row r="159" spans="6:26" s="1" customFormat="1" ht="27">
      <c r="F159" s="5"/>
      <c r="G159" s="5"/>
      <c r="H159" s="6"/>
      <c r="I159" s="6"/>
      <c r="U159" s="2"/>
      <c r="V159" s="2"/>
      <c r="W159" s="2"/>
      <c r="X159" s="2"/>
      <c r="Y159" s="2"/>
      <c r="Z159" s="2"/>
    </row>
    <row r="160" spans="6:26" s="1" customFormat="1" ht="27">
      <c r="F160" s="5"/>
      <c r="G160" s="5"/>
      <c r="H160" s="6"/>
      <c r="I160" s="6"/>
      <c r="U160" s="2"/>
      <c r="V160" s="2"/>
      <c r="W160" s="2"/>
      <c r="X160" s="2"/>
      <c r="Y160" s="2"/>
      <c r="Z160" s="2"/>
    </row>
    <row r="161" spans="6:26" s="1" customFormat="1" ht="27">
      <c r="F161" s="5"/>
      <c r="G161" s="5"/>
      <c r="H161" s="6"/>
      <c r="I161" s="6"/>
      <c r="U161" s="2"/>
      <c r="V161" s="2"/>
      <c r="W161" s="2"/>
      <c r="X161" s="2"/>
      <c r="Y161" s="2"/>
      <c r="Z161" s="2"/>
    </row>
    <row r="162" spans="6:26" s="1" customFormat="1" ht="27">
      <c r="F162" s="5"/>
      <c r="G162" s="5"/>
      <c r="H162" s="6"/>
      <c r="I162" s="6"/>
      <c r="U162" s="2"/>
      <c r="V162" s="2"/>
      <c r="W162" s="2"/>
      <c r="X162" s="2"/>
      <c r="Y162" s="2"/>
      <c r="Z162" s="2"/>
    </row>
    <row r="163" spans="6:26" s="1" customFormat="1" ht="27">
      <c r="F163" s="5"/>
      <c r="G163" s="5"/>
      <c r="H163" s="6"/>
      <c r="I163" s="6"/>
      <c r="U163" s="2"/>
      <c r="V163" s="2"/>
      <c r="W163" s="2"/>
      <c r="X163" s="2"/>
      <c r="Y163" s="2"/>
      <c r="Z163" s="2"/>
    </row>
    <row r="164" spans="6:26" s="1" customFormat="1" ht="27">
      <c r="F164" s="5"/>
      <c r="G164" s="5"/>
      <c r="H164" s="6"/>
      <c r="I164" s="6"/>
      <c r="U164" s="2"/>
      <c r="V164" s="2"/>
      <c r="W164" s="2"/>
      <c r="X164" s="2"/>
      <c r="Y164" s="2"/>
      <c r="Z164" s="2"/>
    </row>
    <row r="165" spans="6:26" s="1" customFormat="1" ht="27">
      <c r="F165" s="5"/>
      <c r="G165" s="5"/>
      <c r="H165" s="6"/>
      <c r="I165" s="6"/>
      <c r="U165" s="2"/>
      <c r="V165" s="2"/>
      <c r="W165" s="2"/>
      <c r="X165" s="2"/>
      <c r="Y165" s="2"/>
      <c r="Z165" s="2"/>
    </row>
    <row r="166" spans="6:26" s="1" customFormat="1" ht="27">
      <c r="F166" s="5"/>
      <c r="G166" s="5"/>
      <c r="H166" s="6"/>
      <c r="I166" s="6"/>
      <c r="U166" s="2"/>
      <c r="V166" s="2"/>
      <c r="W166" s="2"/>
      <c r="X166" s="2"/>
      <c r="Y166" s="2"/>
      <c r="Z166" s="2"/>
    </row>
    <row r="167" spans="6:26" s="1" customFormat="1" ht="27">
      <c r="F167" s="5"/>
      <c r="G167" s="5"/>
      <c r="H167" s="6"/>
      <c r="I167" s="6"/>
      <c r="U167" s="2"/>
      <c r="V167" s="2"/>
      <c r="W167" s="2"/>
      <c r="X167" s="2"/>
      <c r="Y167" s="2"/>
      <c r="Z167" s="2"/>
    </row>
    <row r="168" spans="6:26" s="1" customFormat="1" ht="27">
      <c r="F168" s="5"/>
      <c r="G168" s="5"/>
      <c r="H168" s="6"/>
      <c r="I168" s="6"/>
      <c r="U168" s="2"/>
      <c r="V168" s="2"/>
      <c r="W168" s="2"/>
      <c r="X168" s="2"/>
      <c r="Y168" s="2"/>
      <c r="Z168" s="2"/>
    </row>
    <row r="169" spans="6:26" s="1" customFormat="1" ht="27">
      <c r="F169" s="5"/>
      <c r="G169" s="5"/>
      <c r="H169" s="6"/>
      <c r="I169" s="6"/>
      <c r="U169" s="2"/>
      <c r="V169" s="2"/>
      <c r="W169" s="2"/>
      <c r="X169" s="2"/>
      <c r="Y169" s="2"/>
      <c r="Z169" s="2"/>
    </row>
    <row r="170" spans="6:26" s="1" customFormat="1" ht="27">
      <c r="F170" s="5"/>
      <c r="G170" s="5"/>
      <c r="H170" s="6"/>
      <c r="I170" s="6"/>
      <c r="U170" s="2"/>
      <c r="V170" s="2"/>
      <c r="W170" s="2"/>
      <c r="X170" s="2"/>
      <c r="Y170" s="2"/>
      <c r="Z170" s="2"/>
    </row>
    <row r="171" spans="6:26" s="1" customFormat="1" ht="27">
      <c r="F171" s="5"/>
      <c r="G171" s="5"/>
      <c r="H171" s="6"/>
      <c r="I171" s="6"/>
      <c r="U171" s="2"/>
      <c r="V171" s="2"/>
      <c r="W171" s="2"/>
      <c r="X171" s="2"/>
      <c r="Y171" s="2"/>
      <c r="Z171" s="2"/>
    </row>
    <row r="172" spans="6:26" s="1" customFormat="1" ht="27">
      <c r="F172" s="5"/>
      <c r="G172" s="5"/>
      <c r="H172" s="6"/>
      <c r="I172" s="6"/>
      <c r="U172" s="2"/>
      <c r="V172" s="2"/>
      <c r="W172" s="2"/>
      <c r="X172" s="2"/>
      <c r="Y172" s="2"/>
      <c r="Z172" s="2"/>
    </row>
    <row r="173" spans="6:26" s="1" customFormat="1" ht="27">
      <c r="F173" s="5"/>
      <c r="G173" s="5"/>
      <c r="H173" s="6"/>
      <c r="I173" s="6"/>
      <c r="U173" s="2"/>
      <c r="V173" s="2"/>
      <c r="W173" s="2"/>
      <c r="X173" s="2"/>
      <c r="Y173" s="2"/>
      <c r="Z173" s="2"/>
    </row>
    <row r="174" spans="6:26" s="1" customFormat="1" ht="27">
      <c r="F174" s="5"/>
      <c r="G174" s="5"/>
      <c r="H174" s="6"/>
      <c r="I174" s="6"/>
      <c r="U174" s="2"/>
      <c r="V174" s="2"/>
      <c r="W174" s="2"/>
      <c r="X174" s="2"/>
      <c r="Y174" s="2"/>
      <c r="Z174" s="2"/>
    </row>
    <row r="175" spans="6:26" s="1" customFormat="1" ht="27">
      <c r="F175" s="5"/>
      <c r="G175" s="5"/>
      <c r="H175" s="6"/>
      <c r="I175" s="6"/>
      <c r="U175" s="2"/>
      <c r="V175" s="2"/>
      <c r="W175" s="2"/>
      <c r="X175" s="2"/>
      <c r="Y175" s="2"/>
      <c r="Z175" s="2"/>
    </row>
    <row r="176" spans="6:26" s="1" customFormat="1" ht="27">
      <c r="F176" s="5"/>
      <c r="G176" s="5"/>
      <c r="H176" s="6"/>
      <c r="I176" s="6"/>
      <c r="U176" s="2"/>
      <c r="V176" s="2"/>
      <c r="W176" s="2"/>
      <c r="X176" s="2"/>
      <c r="Y176" s="2"/>
      <c r="Z176" s="2"/>
    </row>
    <row r="177" spans="6:26" s="1" customFormat="1" ht="27">
      <c r="F177" s="5"/>
      <c r="G177" s="5"/>
      <c r="H177" s="6"/>
      <c r="I177" s="6"/>
      <c r="U177" s="2"/>
      <c r="V177" s="2"/>
      <c r="W177" s="2"/>
      <c r="X177" s="2"/>
      <c r="Y177" s="2"/>
      <c r="Z177" s="2"/>
    </row>
    <row r="178" spans="6:26" s="1" customFormat="1" ht="27">
      <c r="F178" s="5"/>
      <c r="G178" s="5"/>
      <c r="H178" s="6"/>
      <c r="I178" s="6"/>
      <c r="U178" s="2"/>
      <c r="V178" s="2"/>
      <c r="W178" s="2"/>
      <c r="X178" s="2"/>
      <c r="Y178" s="2"/>
      <c r="Z178" s="2"/>
    </row>
    <row r="179" spans="6:26" s="1" customFormat="1" ht="27">
      <c r="F179" s="5"/>
      <c r="G179" s="5"/>
      <c r="H179" s="6"/>
      <c r="I179" s="6"/>
      <c r="U179" s="2"/>
      <c r="V179" s="2"/>
      <c r="W179" s="2"/>
      <c r="X179" s="2"/>
      <c r="Y179" s="2"/>
      <c r="Z179" s="2"/>
    </row>
    <row r="180" spans="6:26" s="1" customFormat="1" ht="27">
      <c r="F180" s="5"/>
      <c r="G180" s="5"/>
      <c r="H180" s="6"/>
      <c r="I180" s="6"/>
      <c r="U180" s="2"/>
      <c r="V180" s="2"/>
      <c r="W180" s="2"/>
      <c r="X180" s="2"/>
      <c r="Y180" s="2"/>
      <c r="Z180" s="2"/>
    </row>
    <row r="181" spans="6:26" s="1" customFormat="1" ht="27">
      <c r="F181" s="5"/>
      <c r="G181" s="5"/>
      <c r="H181" s="6"/>
      <c r="I181" s="6"/>
      <c r="U181" s="2"/>
      <c r="V181" s="2"/>
      <c r="W181" s="2"/>
      <c r="X181" s="2"/>
      <c r="Y181" s="2"/>
      <c r="Z181" s="2"/>
    </row>
    <row r="182" spans="6:26" s="1" customFormat="1" ht="27">
      <c r="F182" s="5"/>
      <c r="G182" s="5"/>
      <c r="H182" s="6"/>
      <c r="I182" s="6"/>
      <c r="U182" s="2"/>
      <c r="V182" s="2"/>
      <c r="W182" s="2"/>
      <c r="X182" s="2"/>
      <c r="Y182" s="2"/>
      <c r="Z182" s="2"/>
    </row>
    <row r="183" spans="6:26" s="1" customFormat="1" ht="27">
      <c r="F183" s="5"/>
      <c r="G183" s="5"/>
      <c r="H183" s="6"/>
      <c r="I183" s="6"/>
      <c r="U183" s="2"/>
      <c r="V183" s="2"/>
      <c r="W183" s="2"/>
      <c r="X183" s="2"/>
      <c r="Y183" s="2"/>
      <c r="Z183" s="2"/>
    </row>
    <row r="184" spans="6:26" s="1" customFormat="1" ht="27">
      <c r="F184" s="5"/>
      <c r="G184" s="5"/>
      <c r="H184" s="6"/>
      <c r="I184" s="6"/>
      <c r="U184" s="2"/>
      <c r="V184" s="2"/>
      <c r="W184" s="2"/>
      <c r="X184" s="2"/>
      <c r="Y184" s="2"/>
      <c r="Z184" s="2"/>
    </row>
    <row r="185" spans="6:26" s="1" customFormat="1" ht="27">
      <c r="F185" s="5"/>
      <c r="G185" s="5"/>
      <c r="H185" s="6"/>
      <c r="I185" s="6"/>
      <c r="U185" s="2"/>
      <c r="V185" s="2"/>
      <c r="W185" s="2"/>
      <c r="X185" s="2"/>
      <c r="Y185" s="2"/>
      <c r="Z185" s="2"/>
    </row>
    <row r="186" spans="6:26" s="1" customFormat="1" ht="27">
      <c r="F186" s="5"/>
      <c r="G186" s="5"/>
      <c r="H186" s="6"/>
      <c r="I186" s="6"/>
      <c r="U186" s="2"/>
      <c r="V186" s="2"/>
      <c r="W186" s="2"/>
      <c r="X186" s="2"/>
      <c r="Y186" s="2"/>
      <c r="Z186" s="2"/>
    </row>
    <row r="187" spans="6:26" s="1" customFormat="1" ht="27">
      <c r="F187" s="5"/>
      <c r="G187" s="5"/>
      <c r="H187" s="6"/>
      <c r="I187" s="6"/>
      <c r="U187" s="2"/>
      <c r="V187" s="2"/>
      <c r="W187" s="2"/>
      <c r="X187" s="2"/>
      <c r="Y187" s="2"/>
      <c r="Z187" s="2"/>
    </row>
    <row r="188" spans="6:26" s="1" customFormat="1" ht="27">
      <c r="F188" s="5"/>
      <c r="G188" s="5"/>
      <c r="H188" s="6"/>
      <c r="I188" s="6"/>
      <c r="U188" s="2"/>
      <c r="V188" s="2"/>
      <c r="W188" s="2"/>
      <c r="X188" s="2"/>
      <c r="Y188" s="2"/>
      <c r="Z188" s="2"/>
    </row>
    <row r="189" spans="6:26" s="1" customFormat="1" ht="27">
      <c r="F189" s="5"/>
      <c r="G189" s="5"/>
      <c r="H189" s="6"/>
      <c r="I189" s="6"/>
      <c r="U189" s="2"/>
      <c r="V189" s="2"/>
      <c r="W189" s="2"/>
      <c r="X189" s="2"/>
      <c r="Y189" s="2"/>
      <c r="Z189" s="2"/>
    </row>
    <row r="190" spans="6:26" s="1" customFormat="1" ht="27">
      <c r="F190" s="5"/>
      <c r="G190" s="5"/>
      <c r="H190" s="6"/>
      <c r="I190" s="6"/>
      <c r="U190" s="2"/>
      <c r="V190" s="2"/>
      <c r="W190" s="2"/>
      <c r="X190" s="2"/>
      <c r="Y190" s="2"/>
      <c r="Z190" s="2"/>
    </row>
    <row r="191" spans="6:26" s="1" customFormat="1" ht="27">
      <c r="F191" s="5"/>
      <c r="G191" s="5"/>
      <c r="H191" s="6"/>
      <c r="I191" s="6"/>
      <c r="U191" s="2"/>
      <c r="V191" s="2"/>
      <c r="W191" s="2"/>
      <c r="X191" s="2"/>
      <c r="Y191" s="2"/>
      <c r="Z191" s="2"/>
    </row>
    <row r="192" spans="6:26" s="1" customFormat="1" ht="27">
      <c r="F192" s="5"/>
      <c r="G192" s="5"/>
      <c r="H192" s="6"/>
      <c r="I192" s="6"/>
      <c r="U192" s="2"/>
      <c r="V192" s="2"/>
      <c r="W192" s="2"/>
      <c r="X192" s="2"/>
      <c r="Y192" s="2"/>
      <c r="Z192" s="2"/>
    </row>
    <row r="193" spans="6:26" s="1" customFormat="1" ht="27">
      <c r="F193" s="5"/>
      <c r="G193" s="5"/>
      <c r="H193" s="6"/>
      <c r="I193" s="6"/>
      <c r="U193" s="2"/>
      <c r="V193" s="2"/>
      <c r="W193" s="2"/>
      <c r="X193" s="2"/>
      <c r="Y193" s="2"/>
      <c r="Z193" s="2"/>
    </row>
    <row r="194" spans="6:26" s="1" customFormat="1" ht="27">
      <c r="F194" s="5"/>
      <c r="G194" s="5"/>
      <c r="H194" s="6"/>
      <c r="I194" s="6"/>
      <c r="U194" s="2"/>
      <c r="V194" s="2"/>
      <c r="W194" s="2"/>
      <c r="X194" s="2"/>
      <c r="Y194" s="2"/>
      <c r="Z194" s="2"/>
    </row>
    <row r="195" spans="6:26" s="1" customFormat="1" ht="27">
      <c r="F195" s="5"/>
      <c r="G195" s="5"/>
      <c r="H195" s="6"/>
      <c r="I195" s="6"/>
      <c r="U195" s="2"/>
      <c r="V195" s="2"/>
      <c r="W195" s="2"/>
      <c r="X195" s="2"/>
      <c r="Y195" s="2"/>
      <c r="Z195" s="2"/>
    </row>
    <row r="196" spans="6:26" s="1" customFormat="1" ht="27">
      <c r="F196" s="5"/>
      <c r="G196" s="5"/>
      <c r="H196" s="6"/>
      <c r="I196" s="6"/>
      <c r="U196" s="2"/>
      <c r="V196" s="2"/>
      <c r="W196" s="2"/>
      <c r="X196" s="2"/>
      <c r="Y196" s="2"/>
      <c r="Z196" s="2"/>
    </row>
    <row r="197" spans="6:26" s="1" customFormat="1" ht="27">
      <c r="F197" s="5"/>
      <c r="G197" s="5"/>
      <c r="H197" s="6"/>
      <c r="I197" s="6"/>
      <c r="U197" s="2"/>
      <c r="V197" s="2"/>
      <c r="W197" s="2"/>
      <c r="X197" s="2"/>
      <c r="Y197" s="2"/>
      <c r="Z197" s="2"/>
    </row>
    <row r="198" spans="6:26" s="1" customFormat="1" ht="27">
      <c r="F198" s="5"/>
      <c r="G198" s="5"/>
      <c r="H198" s="6"/>
      <c r="I198" s="6"/>
      <c r="U198" s="2"/>
      <c r="V198" s="2"/>
      <c r="W198" s="2"/>
      <c r="X198" s="2"/>
      <c r="Y198" s="2"/>
      <c r="Z198" s="2"/>
    </row>
    <row r="199" spans="6:26" s="1" customFormat="1" ht="27">
      <c r="F199" s="5"/>
      <c r="G199" s="5"/>
      <c r="H199" s="6"/>
      <c r="I199" s="6"/>
      <c r="U199" s="2"/>
      <c r="V199" s="2"/>
      <c r="W199" s="2"/>
      <c r="X199" s="2"/>
      <c r="Y199" s="2"/>
      <c r="Z199" s="2"/>
    </row>
    <row r="200" spans="6:26" s="1" customFormat="1" ht="27">
      <c r="F200" s="5"/>
      <c r="G200" s="5"/>
      <c r="H200" s="6"/>
      <c r="I200" s="6"/>
      <c r="U200" s="2"/>
      <c r="V200" s="2"/>
      <c r="W200" s="2"/>
      <c r="X200" s="2"/>
      <c r="Y200" s="2"/>
      <c r="Z200" s="2"/>
    </row>
    <row r="201" spans="6:26" s="1" customFormat="1" ht="27">
      <c r="F201" s="5"/>
      <c r="G201" s="5"/>
      <c r="H201" s="6"/>
      <c r="I201" s="6"/>
      <c r="U201" s="2"/>
      <c r="V201" s="2"/>
      <c r="W201" s="2"/>
      <c r="X201" s="2"/>
      <c r="Y201" s="2"/>
      <c r="Z201" s="2"/>
    </row>
    <row r="202" spans="6:26" s="1" customFormat="1" ht="27">
      <c r="F202" s="5"/>
      <c r="G202" s="5"/>
      <c r="H202" s="6"/>
      <c r="I202" s="6"/>
      <c r="U202" s="2"/>
      <c r="V202" s="2"/>
      <c r="W202" s="2"/>
      <c r="X202" s="2"/>
      <c r="Y202" s="2"/>
      <c r="Z202" s="2"/>
    </row>
    <row r="203" spans="6:26" s="1" customFormat="1" ht="27">
      <c r="F203" s="5"/>
      <c r="G203" s="5"/>
      <c r="H203" s="6"/>
      <c r="I203" s="6"/>
      <c r="U203" s="2"/>
      <c r="V203" s="2"/>
      <c r="W203" s="2"/>
      <c r="X203" s="2"/>
      <c r="Y203" s="2"/>
      <c r="Z203" s="2"/>
    </row>
    <row r="204" spans="6:26" s="1" customFormat="1" ht="27">
      <c r="F204" s="5"/>
      <c r="G204" s="5"/>
      <c r="H204" s="6"/>
      <c r="I204" s="6"/>
      <c r="U204" s="2"/>
      <c r="V204" s="2"/>
      <c r="W204" s="2"/>
      <c r="X204" s="2"/>
      <c r="Y204" s="2"/>
      <c r="Z204" s="2"/>
    </row>
    <row r="205" spans="6:26" s="1" customFormat="1" ht="27">
      <c r="F205" s="5"/>
      <c r="G205" s="5"/>
      <c r="H205" s="6"/>
      <c r="I205" s="6"/>
      <c r="U205" s="2"/>
      <c r="V205" s="2"/>
      <c r="W205" s="2"/>
      <c r="X205" s="2"/>
      <c r="Y205" s="2"/>
      <c r="Z205" s="2"/>
    </row>
    <row r="206" spans="6:26" s="1" customFormat="1" ht="27">
      <c r="F206" s="5"/>
      <c r="G206" s="5"/>
      <c r="H206" s="6"/>
      <c r="I206" s="6"/>
      <c r="U206" s="2"/>
      <c r="V206" s="2"/>
      <c r="W206" s="2"/>
      <c r="X206" s="2"/>
      <c r="Y206" s="2"/>
      <c r="Z206" s="2"/>
    </row>
    <row r="207" spans="6:26" s="1" customFormat="1" ht="27">
      <c r="F207" s="5"/>
      <c r="G207" s="5"/>
      <c r="H207" s="6"/>
      <c r="I207" s="6"/>
      <c r="U207" s="2"/>
      <c r="V207" s="2"/>
      <c r="W207" s="2"/>
      <c r="X207" s="2"/>
      <c r="Y207" s="2"/>
      <c r="Z207" s="2"/>
    </row>
    <row r="208" spans="6:26" s="1" customFormat="1" ht="27">
      <c r="F208" s="5"/>
      <c r="G208" s="5"/>
      <c r="H208" s="6"/>
      <c r="I208" s="6"/>
      <c r="U208" s="2"/>
      <c r="V208" s="2"/>
      <c r="W208" s="2"/>
      <c r="X208" s="2"/>
      <c r="Y208" s="2"/>
      <c r="Z208" s="2"/>
    </row>
    <row r="209" spans="6:26" s="1" customFormat="1" ht="27">
      <c r="F209" s="5"/>
      <c r="G209" s="5"/>
      <c r="H209" s="6"/>
      <c r="I209" s="6"/>
      <c r="U209" s="2"/>
      <c r="V209" s="2"/>
      <c r="W209" s="2"/>
      <c r="X209" s="2"/>
      <c r="Y209" s="2"/>
      <c r="Z209" s="2"/>
    </row>
    <row r="210" spans="6:26" s="1" customFormat="1" ht="27">
      <c r="F210" s="5"/>
      <c r="G210" s="5"/>
      <c r="H210" s="6"/>
      <c r="I210" s="6"/>
      <c r="U210" s="2"/>
      <c r="V210" s="2"/>
      <c r="W210" s="2"/>
      <c r="X210" s="2"/>
      <c r="Y210" s="2"/>
      <c r="Z210" s="2"/>
    </row>
    <row r="211" spans="6:26" s="1" customFormat="1" ht="27">
      <c r="F211" s="5"/>
      <c r="G211" s="5"/>
      <c r="H211" s="6"/>
      <c r="I211" s="6"/>
      <c r="U211" s="2"/>
      <c r="V211" s="2"/>
      <c r="W211" s="2"/>
      <c r="X211" s="2"/>
      <c r="Y211" s="2"/>
      <c r="Z211" s="2"/>
    </row>
    <row r="212" spans="6:26" s="1" customFormat="1" ht="27">
      <c r="F212" s="5"/>
      <c r="G212" s="5"/>
      <c r="H212" s="6"/>
      <c r="I212" s="6"/>
      <c r="U212" s="2"/>
      <c r="V212" s="2"/>
      <c r="W212" s="2"/>
      <c r="X212" s="2"/>
      <c r="Y212" s="2"/>
      <c r="Z212" s="2"/>
    </row>
    <row r="213" spans="6:26" s="1" customFormat="1" ht="27">
      <c r="F213" s="5"/>
      <c r="G213" s="5"/>
      <c r="H213" s="6"/>
      <c r="I213" s="6"/>
      <c r="U213" s="2"/>
      <c r="V213" s="2"/>
      <c r="W213" s="2"/>
      <c r="X213" s="2"/>
      <c r="Y213" s="2"/>
      <c r="Z213" s="2"/>
    </row>
    <row r="214" spans="6:26" s="1" customFormat="1" ht="27">
      <c r="F214" s="5"/>
      <c r="G214" s="5"/>
      <c r="H214" s="6"/>
      <c r="I214" s="6"/>
      <c r="U214" s="2"/>
      <c r="V214" s="2"/>
      <c r="W214" s="2"/>
      <c r="X214" s="2"/>
      <c r="Y214" s="2"/>
      <c r="Z214" s="2"/>
    </row>
    <row r="215" spans="6:26" s="1" customFormat="1" ht="27">
      <c r="F215" s="5"/>
      <c r="G215" s="5"/>
      <c r="H215" s="6"/>
      <c r="I215" s="6"/>
      <c r="U215" s="2"/>
      <c r="V215" s="2"/>
      <c r="W215" s="2"/>
      <c r="X215" s="2"/>
      <c r="Y215" s="2"/>
      <c r="Z215" s="2"/>
    </row>
    <row r="216" spans="6:26" s="1" customFormat="1" ht="27">
      <c r="F216" s="5"/>
      <c r="G216" s="5"/>
      <c r="H216" s="6"/>
      <c r="I216" s="6"/>
      <c r="U216" s="2"/>
      <c r="V216" s="2"/>
      <c r="W216" s="2"/>
      <c r="X216" s="2"/>
      <c r="Y216" s="2"/>
      <c r="Z216" s="2"/>
    </row>
    <row r="217" spans="6:26" s="1" customFormat="1" ht="27">
      <c r="F217" s="5"/>
      <c r="G217" s="5"/>
      <c r="H217" s="6"/>
      <c r="I217" s="6"/>
      <c r="U217" s="2"/>
      <c r="V217" s="2"/>
      <c r="W217" s="2"/>
      <c r="X217" s="2"/>
      <c r="Y217" s="2"/>
      <c r="Z217" s="2"/>
    </row>
    <row r="218" spans="6:26" s="1" customFormat="1" ht="27">
      <c r="F218" s="5"/>
      <c r="G218" s="5"/>
      <c r="H218" s="6"/>
      <c r="I218" s="6"/>
      <c r="U218" s="2"/>
      <c r="V218" s="2"/>
      <c r="W218" s="2"/>
      <c r="X218" s="2"/>
      <c r="Y218" s="2"/>
      <c r="Z218" s="2"/>
    </row>
    <row r="219" spans="6:26" s="1" customFormat="1" ht="27">
      <c r="F219" s="5"/>
      <c r="G219" s="5"/>
      <c r="H219" s="6"/>
      <c r="I219" s="6"/>
      <c r="U219" s="2"/>
      <c r="V219" s="2"/>
      <c r="W219" s="2"/>
      <c r="X219" s="2"/>
      <c r="Y219" s="2"/>
      <c r="Z219" s="2"/>
    </row>
    <row r="220" spans="6:26" s="1" customFormat="1" ht="27">
      <c r="F220" s="5"/>
      <c r="G220" s="5"/>
      <c r="H220" s="6"/>
      <c r="I220" s="6"/>
      <c r="U220" s="2"/>
      <c r="V220" s="2"/>
      <c r="W220" s="2"/>
      <c r="X220" s="2"/>
      <c r="Y220" s="2"/>
      <c r="Z220" s="2"/>
    </row>
    <row r="221" spans="6:26" s="1" customFormat="1" ht="27">
      <c r="F221" s="5"/>
      <c r="G221" s="5"/>
      <c r="H221" s="6"/>
      <c r="I221" s="6"/>
      <c r="U221" s="2"/>
      <c r="V221" s="2"/>
      <c r="W221" s="2"/>
      <c r="X221" s="2"/>
      <c r="Y221" s="2"/>
      <c r="Z221" s="2"/>
    </row>
    <row r="222" spans="6:26" s="1" customFormat="1" ht="27">
      <c r="F222" s="5"/>
      <c r="G222" s="5"/>
      <c r="H222" s="6"/>
      <c r="I222" s="6"/>
      <c r="U222" s="2"/>
      <c r="V222" s="2"/>
      <c r="W222" s="2"/>
      <c r="X222" s="2"/>
      <c r="Y222" s="2"/>
      <c r="Z222" s="2"/>
    </row>
    <row r="223" spans="6:26" s="1" customFormat="1" ht="27">
      <c r="F223" s="5"/>
      <c r="G223" s="5"/>
      <c r="H223" s="6"/>
      <c r="I223" s="6"/>
      <c r="U223" s="2"/>
      <c r="V223" s="2"/>
      <c r="W223" s="2"/>
      <c r="X223" s="2"/>
      <c r="Y223" s="2"/>
      <c r="Z223" s="2"/>
    </row>
    <row r="224" spans="6:26" s="1" customFormat="1" ht="27">
      <c r="F224" s="5"/>
      <c r="G224" s="5"/>
      <c r="H224" s="6"/>
      <c r="I224" s="6"/>
      <c r="U224" s="2"/>
      <c r="V224" s="2"/>
      <c r="W224" s="2"/>
      <c r="X224" s="2"/>
      <c r="Y224" s="2"/>
      <c r="Z224" s="2"/>
    </row>
    <row r="225" spans="6:26" s="1" customFormat="1" ht="27">
      <c r="F225" s="5"/>
      <c r="G225" s="5"/>
      <c r="H225" s="6"/>
      <c r="I225" s="6"/>
      <c r="U225" s="2"/>
      <c r="V225" s="2"/>
      <c r="W225" s="2"/>
      <c r="X225" s="2"/>
      <c r="Y225" s="2"/>
      <c r="Z225" s="2"/>
    </row>
    <row r="226" spans="6:26" s="1" customFormat="1" ht="27">
      <c r="F226" s="5"/>
      <c r="G226" s="5"/>
      <c r="H226" s="6"/>
      <c r="I226" s="6"/>
      <c r="U226" s="2"/>
      <c r="V226" s="2"/>
      <c r="W226" s="2"/>
      <c r="X226" s="2"/>
      <c r="Y226" s="2"/>
      <c r="Z226" s="2"/>
    </row>
    <row r="227" spans="6:26" s="1" customFormat="1" ht="27">
      <c r="F227" s="5"/>
      <c r="G227" s="5"/>
      <c r="H227" s="6"/>
      <c r="I227" s="6"/>
      <c r="U227" s="2"/>
      <c r="V227" s="2"/>
      <c r="W227" s="2"/>
      <c r="X227" s="2"/>
      <c r="Y227" s="2"/>
      <c r="Z227" s="2"/>
    </row>
    <row r="228" spans="6:26" s="1" customFormat="1" ht="27">
      <c r="F228" s="5"/>
      <c r="G228" s="5"/>
      <c r="H228" s="6"/>
      <c r="I228" s="6"/>
      <c r="U228" s="2"/>
      <c r="V228" s="2"/>
      <c r="W228" s="2"/>
      <c r="X228" s="2"/>
      <c r="Y228" s="2"/>
      <c r="Z228" s="2"/>
    </row>
    <row r="229" spans="6:26" s="1" customFormat="1" ht="27">
      <c r="F229" s="5"/>
      <c r="G229" s="5"/>
      <c r="H229" s="6"/>
      <c r="I229" s="6"/>
      <c r="U229" s="2"/>
      <c r="V229" s="2"/>
      <c r="W229" s="2"/>
      <c r="X229" s="2"/>
      <c r="Y229" s="2"/>
      <c r="Z229" s="2"/>
    </row>
    <row r="230" spans="6:26" s="1" customFormat="1" ht="27">
      <c r="F230" s="5"/>
      <c r="G230" s="5"/>
      <c r="H230" s="6"/>
      <c r="I230" s="6"/>
      <c r="U230" s="2"/>
      <c r="V230" s="2"/>
      <c r="W230" s="2"/>
      <c r="X230" s="2"/>
      <c r="Y230" s="2"/>
      <c r="Z230" s="2"/>
    </row>
    <row r="231" spans="6:26" s="1" customFormat="1" ht="27">
      <c r="F231" s="5"/>
      <c r="G231" s="5"/>
      <c r="H231" s="6"/>
      <c r="I231" s="6"/>
      <c r="U231" s="2"/>
      <c r="V231" s="2"/>
      <c r="W231" s="2"/>
      <c r="X231" s="2"/>
      <c r="Y231" s="2"/>
      <c r="Z231" s="2"/>
    </row>
    <row r="232" spans="6:26" s="1" customFormat="1" ht="27">
      <c r="F232" s="5"/>
      <c r="G232" s="5"/>
      <c r="H232" s="6"/>
      <c r="I232" s="6"/>
      <c r="U232" s="2"/>
      <c r="V232" s="2"/>
      <c r="W232" s="2"/>
      <c r="X232" s="2"/>
      <c r="Y232" s="2"/>
      <c r="Z232" s="2"/>
    </row>
    <row r="233" spans="6:26" s="1" customFormat="1" ht="27">
      <c r="F233" s="5"/>
      <c r="G233" s="5"/>
      <c r="H233" s="6"/>
      <c r="I233" s="6"/>
      <c r="U233" s="2"/>
      <c r="V233" s="2"/>
      <c r="W233" s="2"/>
      <c r="X233" s="2"/>
      <c r="Y233" s="2"/>
      <c r="Z233" s="2"/>
    </row>
    <row r="234" spans="6:26" s="1" customFormat="1" ht="27">
      <c r="F234" s="5"/>
      <c r="G234" s="5"/>
      <c r="H234" s="6"/>
      <c r="I234" s="6"/>
      <c r="U234" s="2"/>
      <c r="V234" s="2"/>
      <c r="W234" s="2"/>
      <c r="X234" s="2"/>
      <c r="Y234" s="2"/>
      <c r="Z234" s="2"/>
    </row>
    <row r="235" spans="6:26" s="1" customFormat="1" ht="27">
      <c r="F235" s="5"/>
      <c r="G235" s="5"/>
      <c r="H235" s="6"/>
      <c r="I235" s="6"/>
      <c r="U235" s="2"/>
      <c r="V235" s="2"/>
      <c r="W235" s="2"/>
      <c r="X235" s="2"/>
      <c r="Y235" s="2"/>
      <c r="Z235" s="2"/>
    </row>
    <row r="236" spans="6:26" s="1" customFormat="1" ht="27">
      <c r="F236" s="5"/>
      <c r="G236" s="5"/>
      <c r="H236" s="6"/>
      <c r="I236" s="6"/>
      <c r="U236" s="2"/>
      <c r="V236" s="2"/>
      <c r="W236" s="2"/>
      <c r="X236" s="2"/>
      <c r="Y236" s="2"/>
      <c r="Z236" s="2"/>
    </row>
    <row r="237" spans="6:26" s="1" customFormat="1" ht="27">
      <c r="F237" s="5"/>
      <c r="G237" s="5"/>
      <c r="H237" s="6"/>
      <c r="I237" s="6"/>
      <c r="U237" s="2"/>
      <c r="V237" s="2"/>
      <c r="W237" s="2"/>
      <c r="X237" s="2"/>
      <c r="Y237" s="2"/>
      <c r="Z237" s="2"/>
    </row>
    <row r="238" spans="6:26" s="1" customFormat="1" ht="27">
      <c r="F238" s="5"/>
      <c r="G238" s="5"/>
      <c r="H238" s="6"/>
      <c r="I238" s="6"/>
      <c r="U238" s="2"/>
      <c r="V238" s="2"/>
      <c r="W238" s="2"/>
      <c r="X238" s="2"/>
      <c r="Y238" s="2"/>
      <c r="Z238" s="2"/>
    </row>
    <row r="239" spans="6:26" s="1" customFormat="1" ht="27">
      <c r="F239" s="5"/>
      <c r="G239" s="5"/>
      <c r="H239" s="6"/>
      <c r="I239" s="6"/>
      <c r="U239" s="2"/>
      <c r="V239" s="2"/>
      <c r="W239" s="2"/>
      <c r="X239" s="2"/>
      <c r="Y239" s="2"/>
      <c r="Z239" s="2"/>
    </row>
    <row r="240" spans="6:26" s="1" customFormat="1" ht="27">
      <c r="F240" s="5"/>
      <c r="G240" s="5"/>
      <c r="H240" s="6"/>
      <c r="I240" s="6"/>
      <c r="U240" s="2"/>
      <c r="V240" s="2"/>
      <c r="W240" s="2"/>
      <c r="X240" s="2"/>
      <c r="Y240" s="2"/>
      <c r="Z240" s="2"/>
    </row>
    <row r="241" spans="6:26" s="1" customFormat="1" ht="27">
      <c r="F241" s="5"/>
      <c r="G241" s="5"/>
      <c r="H241" s="6"/>
      <c r="I241" s="6"/>
      <c r="U241" s="2"/>
      <c r="V241" s="2"/>
      <c r="W241" s="2"/>
      <c r="X241" s="2"/>
      <c r="Y241" s="2"/>
      <c r="Z241" s="2"/>
    </row>
    <row r="242" spans="6:26" s="1" customFormat="1" ht="27">
      <c r="F242" s="5"/>
      <c r="G242" s="5"/>
      <c r="H242" s="6"/>
      <c r="I242" s="6"/>
      <c r="U242" s="2"/>
      <c r="V242" s="2"/>
      <c r="W242" s="2"/>
      <c r="X242" s="2"/>
      <c r="Y242" s="2"/>
      <c r="Z242" s="2"/>
    </row>
    <row r="243" spans="4:26" s="1" customFormat="1" ht="27">
      <c r="D243" s="7"/>
      <c r="E243" s="7"/>
      <c r="F243" s="5"/>
      <c r="G243" s="5"/>
      <c r="H243" s="6"/>
      <c r="I243" s="6"/>
      <c r="U243" s="2"/>
      <c r="V243" s="2"/>
      <c r="W243" s="2"/>
      <c r="X243" s="2"/>
      <c r="Y243" s="2"/>
      <c r="Z243" s="2"/>
    </row>
    <row r="244" spans="4:26" s="1" customFormat="1" ht="27">
      <c r="D244" s="7"/>
      <c r="E244" s="7"/>
      <c r="F244" s="5"/>
      <c r="G244" s="5"/>
      <c r="H244" s="6"/>
      <c r="I244" s="6"/>
      <c r="U244" s="2"/>
      <c r="V244" s="2"/>
      <c r="W244" s="2"/>
      <c r="X244" s="2"/>
      <c r="Y244" s="2"/>
      <c r="Z244" s="2"/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GRAIEZABR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CNRS</dc:creator>
  <cp:keywords/>
  <dc:description/>
  <cp:lastModifiedBy> </cp:lastModifiedBy>
  <cp:lastPrinted>2011-01-14T07:46:09Z</cp:lastPrinted>
  <dcterms:created xsi:type="dcterms:W3CDTF">2004-05-10T12:54:40Z</dcterms:created>
  <dcterms:modified xsi:type="dcterms:W3CDTF">2011-03-10T17:18:42Z</dcterms:modified>
  <cp:category/>
  <cp:version/>
  <cp:contentType/>
  <cp:contentStatus/>
</cp:coreProperties>
</file>